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IRial\My Local Documents\1. My documents\CEF_2019\Presentation\WG1\"/>
    </mc:Choice>
  </mc:AlternateContent>
  <xr:revisionPtr revIDLastSave="0" documentId="8_{6154B32C-F32B-4919-B9F9-59468DB45850}" xr6:coauthVersionLast="41" xr6:coauthVersionMax="41" xr10:uidLastSave="{00000000-0000-0000-0000-000000000000}"/>
  <bookViews>
    <workbookView xWindow="-110" yWindow="-110" windowWidth="19420" windowHeight="10420" firstSheet="1" activeTab="1" xr2:uid="{CC92E027-60BE-44D7-8579-B40B1E94CD78}"/>
  </bookViews>
  <sheets>
    <sheet name="The project" sheetId="8" r:id="rId1"/>
    <sheet name="The task" sheetId="9" r:id="rId2"/>
    <sheet name="Project Assumptions" sheetId="3" r:id="rId3"/>
    <sheet name="Project Cash Flows" sheetId="4" r:id="rId4"/>
    <sheet name="Government Impact_baseline" sheetId="7" r:id="rId5"/>
    <sheet name="Sensitivity 1" sheetId="10" r:id="rId6"/>
    <sheet name="Sensitivity 2" sheetId="5"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1" i="5" l="1"/>
  <c r="J6" i="5" l="1"/>
  <c r="J8" i="5"/>
  <c r="J11" i="5"/>
  <c r="H9" i="5"/>
  <c r="F8" i="5"/>
  <c r="G6" i="5"/>
  <c r="E7" i="5"/>
  <c r="F10" i="5" l="1"/>
  <c r="I13" i="5"/>
  <c r="G47" i="10"/>
  <c r="F47" i="10"/>
  <c r="H44" i="10"/>
  <c r="H47" i="10" s="1"/>
  <c r="G44" i="10"/>
  <c r="E44" i="10"/>
  <c r="E47" i="10" s="1"/>
  <c r="D44" i="10"/>
  <c r="D47" i="10" s="1"/>
  <c r="C44" i="10"/>
  <c r="C41" i="10" s="1"/>
  <c r="H41" i="10"/>
  <c r="G41" i="10"/>
  <c r="F41" i="10"/>
  <c r="E41" i="10"/>
  <c r="D41" i="10"/>
  <c r="G36" i="10"/>
  <c r="H36" i="10" s="1"/>
  <c r="I36" i="10" s="1"/>
  <c r="J36" i="10" s="1"/>
  <c r="E36" i="10"/>
  <c r="D36" i="10"/>
  <c r="C36" i="10" s="1"/>
  <c r="F31" i="10"/>
  <c r="G28" i="10"/>
  <c r="G31" i="10" s="1"/>
  <c r="E28" i="10"/>
  <c r="D28" i="10" s="1"/>
  <c r="G25" i="10"/>
  <c r="F25" i="10"/>
  <c r="D9" i="10"/>
  <c r="E9" i="10" s="1"/>
  <c r="F9" i="10" s="1"/>
  <c r="G9" i="10" s="1"/>
  <c r="H9" i="10" s="1"/>
  <c r="I9" i="10" s="1"/>
  <c r="J9" i="10" s="1"/>
  <c r="D6" i="10"/>
  <c r="E6" i="10" s="1"/>
  <c r="F6" i="10" s="1"/>
  <c r="G6" i="10" s="1"/>
  <c r="H6" i="10" s="1"/>
  <c r="I6" i="10" s="1"/>
  <c r="J6" i="10" s="1"/>
  <c r="D3" i="10"/>
  <c r="E3" i="10" s="1"/>
  <c r="F3" i="10" s="1"/>
  <c r="G3" i="10" s="1"/>
  <c r="H3" i="10" s="1"/>
  <c r="I3" i="10" s="1"/>
  <c r="J3" i="10" s="1"/>
  <c r="N3" i="5"/>
  <c r="O3" i="5" s="1"/>
  <c r="P3" i="5" s="1"/>
  <c r="Q3" i="5" s="1"/>
  <c r="R3" i="5" s="1"/>
  <c r="S3" i="5" s="1"/>
  <c r="T3" i="5" s="1"/>
  <c r="N6" i="5"/>
  <c r="O6" i="5" s="1"/>
  <c r="P6" i="5" s="1"/>
  <c r="Q6" i="5" s="1"/>
  <c r="R6" i="5" s="1"/>
  <c r="S6" i="5" s="1"/>
  <c r="T6" i="5" s="1"/>
  <c r="N9" i="5"/>
  <c r="O9" i="5" s="1"/>
  <c r="P9" i="5" s="1"/>
  <c r="Q9" i="5" s="1"/>
  <c r="R9" i="5" s="1"/>
  <c r="S9" i="5" s="1"/>
  <c r="T9" i="5" s="1"/>
  <c r="P25" i="5"/>
  <c r="O28" i="5"/>
  <c r="O25" i="5" s="1"/>
  <c r="Q28" i="5"/>
  <c r="Q25" i="5" s="1"/>
  <c r="P31" i="5"/>
  <c r="O36" i="5"/>
  <c r="N36" i="5" s="1"/>
  <c r="M36" i="5" s="1"/>
  <c r="Q36" i="5"/>
  <c r="R36" i="5" s="1"/>
  <c r="S36" i="5" s="1"/>
  <c r="T36" i="5" s="1"/>
  <c r="P41" i="5"/>
  <c r="O44" i="5"/>
  <c r="O41" i="5" s="1"/>
  <c r="Q44" i="5"/>
  <c r="Q41" i="5" s="1"/>
  <c r="P47" i="5"/>
  <c r="Q47" i="5" l="1"/>
  <c r="N44" i="5"/>
  <c r="N41" i="5" s="1"/>
  <c r="O47" i="5"/>
  <c r="R44" i="5"/>
  <c r="S44" i="5" s="1"/>
  <c r="S47" i="5" s="1"/>
  <c r="O31" i="5"/>
  <c r="D31" i="10"/>
  <c r="C28" i="10"/>
  <c r="D25" i="10"/>
  <c r="E31" i="10"/>
  <c r="C47" i="10"/>
  <c r="I44" i="10"/>
  <c r="H28" i="10"/>
  <c r="E25" i="10"/>
  <c r="T44" i="5"/>
  <c r="N28" i="5"/>
  <c r="Q31" i="5"/>
  <c r="R28" i="5"/>
  <c r="AZ33" i="5"/>
  <c r="AZ42" i="5" s="1"/>
  <c r="AZ71" i="5" s="1"/>
  <c r="BA33" i="5"/>
  <c r="BA42" i="5" s="1"/>
  <c r="BA71" i="5" s="1"/>
  <c r="BB33" i="5"/>
  <c r="BB42" i="5" s="1"/>
  <c r="BB71" i="5" s="1"/>
  <c r="BC33" i="5"/>
  <c r="BC42" i="5" s="1"/>
  <c r="BC71" i="5" s="1"/>
  <c r="H52" i="7"/>
  <c r="I52" i="7"/>
  <c r="J52" i="7"/>
  <c r="K52" i="7"/>
  <c r="L52" i="7"/>
  <c r="M52" i="7"/>
  <c r="N52" i="7"/>
  <c r="O52" i="7"/>
  <c r="R52" i="7"/>
  <c r="S52" i="7"/>
  <c r="T52" i="7"/>
  <c r="U52" i="7"/>
  <c r="V52" i="7"/>
  <c r="W52" i="7"/>
  <c r="X52" i="7"/>
  <c r="Y52" i="7"/>
  <c r="Z52" i="7"/>
  <c r="AA52" i="7"/>
  <c r="H53" i="7"/>
  <c r="I53" i="7"/>
  <c r="J53" i="7"/>
  <c r="K53" i="7"/>
  <c r="L53" i="7"/>
  <c r="M53" i="7"/>
  <c r="N53" i="7"/>
  <c r="O53" i="7"/>
  <c r="R53" i="7"/>
  <c r="S53" i="7"/>
  <c r="T53" i="7"/>
  <c r="U53" i="7"/>
  <c r="V53" i="7"/>
  <c r="W53" i="7"/>
  <c r="X53" i="7"/>
  <c r="Y53" i="7"/>
  <c r="Z53" i="7"/>
  <c r="AA53" i="7"/>
  <c r="H54" i="7"/>
  <c r="I54" i="7"/>
  <c r="J54" i="7"/>
  <c r="K54" i="7"/>
  <c r="L54" i="7"/>
  <c r="M54" i="7"/>
  <c r="N54" i="7"/>
  <c r="O54" i="7"/>
  <c r="R54" i="7"/>
  <c r="S54" i="7"/>
  <c r="T54" i="7"/>
  <c r="U54" i="7"/>
  <c r="V54" i="7"/>
  <c r="W54" i="7"/>
  <c r="X54" i="7"/>
  <c r="Y54" i="7"/>
  <c r="Z54" i="7"/>
  <c r="AA54" i="7"/>
  <c r="H55" i="7"/>
  <c r="I55" i="7"/>
  <c r="J55" i="7"/>
  <c r="K55" i="7"/>
  <c r="L55" i="7"/>
  <c r="M55" i="7"/>
  <c r="N55" i="7"/>
  <c r="O55" i="7"/>
  <c r="R55" i="7"/>
  <c r="S55" i="7"/>
  <c r="T55" i="7"/>
  <c r="U55" i="7"/>
  <c r="V55" i="7"/>
  <c r="W55" i="7"/>
  <c r="X55" i="7"/>
  <c r="Y55" i="7"/>
  <c r="Z55" i="7"/>
  <c r="AA55" i="7"/>
  <c r="H56" i="7"/>
  <c r="I56" i="7"/>
  <c r="J56" i="7"/>
  <c r="K56" i="7"/>
  <c r="L56" i="7"/>
  <c r="M56" i="7"/>
  <c r="N56" i="7"/>
  <c r="O56" i="7"/>
  <c r="R56" i="7"/>
  <c r="S56" i="7"/>
  <c r="T56" i="7"/>
  <c r="U56" i="7"/>
  <c r="V56" i="7"/>
  <c r="W56" i="7"/>
  <c r="X56" i="7"/>
  <c r="Y56" i="7"/>
  <c r="Z56" i="7"/>
  <c r="AA56" i="7"/>
  <c r="C49" i="7"/>
  <c r="C128" i="7" s="1"/>
  <c r="D49" i="7"/>
  <c r="D128" i="7" s="1"/>
  <c r="E49" i="7"/>
  <c r="E128" i="7" s="1"/>
  <c r="F49" i="7"/>
  <c r="F128" i="7" s="1"/>
  <c r="G49" i="7"/>
  <c r="G128" i="7" s="1"/>
  <c r="C50" i="7"/>
  <c r="C129" i="7" s="1"/>
  <c r="D50" i="7"/>
  <c r="D129" i="7" s="1"/>
  <c r="E50" i="7"/>
  <c r="E129" i="7" s="1"/>
  <c r="F50" i="7"/>
  <c r="F129" i="7" s="1"/>
  <c r="G50" i="7"/>
  <c r="H248" i="7"/>
  <c r="I248" i="7"/>
  <c r="J248" i="7"/>
  <c r="K248" i="7"/>
  <c r="L248" i="7"/>
  <c r="M248" i="7"/>
  <c r="N248" i="7"/>
  <c r="O248" i="7"/>
  <c r="R248" i="7"/>
  <c r="S248" i="7"/>
  <c r="T248" i="7"/>
  <c r="U248" i="7"/>
  <c r="V248" i="7"/>
  <c r="W248" i="7"/>
  <c r="X248" i="7"/>
  <c r="Y248" i="7"/>
  <c r="Z248" i="7"/>
  <c r="AA248" i="7"/>
  <c r="H249" i="7"/>
  <c r="I249" i="7"/>
  <c r="J249" i="7"/>
  <c r="K249" i="7"/>
  <c r="L249" i="7"/>
  <c r="M249" i="7"/>
  <c r="N249" i="7"/>
  <c r="O249" i="7"/>
  <c r="R249" i="7"/>
  <c r="S249" i="7"/>
  <c r="T249" i="7"/>
  <c r="U249" i="7"/>
  <c r="V249" i="7"/>
  <c r="W249" i="7"/>
  <c r="X249" i="7"/>
  <c r="Y249" i="7"/>
  <c r="Z249" i="7"/>
  <c r="AA249" i="7"/>
  <c r="H250" i="7"/>
  <c r="I250" i="7"/>
  <c r="J250" i="7"/>
  <c r="K250" i="7"/>
  <c r="L250" i="7"/>
  <c r="M250" i="7"/>
  <c r="N250" i="7"/>
  <c r="O250" i="7"/>
  <c r="R250" i="7"/>
  <c r="S250" i="7"/>
  <c r="T250" i="7"/>
  <c r="U250" i="7"/>
  <c r="V250" i="7"/>
  <c r="W250" i="7"/>
  <c r="X250" i="7"/>
  <c r="Y250" i="7"/>
  <c r="Z250" i="7"/>
  <c r="AA250" i="7"/>
  <c r="H251" i="7"/>
  <c r="I251" i="7"/>
  <c r="J251" i="7"/>
  <c r="K251" i="7"/>
  <c r="L251" i="7"/>
  <c r="M251" i="7"/>
  <c r="N251" i="7"/>
  <c r="O251" i="7"/>
  <c r="R251" i="7"/>
  <c r="S251" i="7"/>
  <c r="T251" i="7"/>
  <c r="U251" i="7"/>
  <c r="V251" i="7"/>
  <c r="W251" i="7"/>
  <c r="X251" i="7"/>
  <c r="Y251" i="7"/>
  <c r="Z251" i="7"/>
  <c r="AA251" i="7"/>
  <c r="H252" i="7"/>
  <c r="I252" i="7"/>
  <c r="J252" i="7"/>
  <c r="K252" i="7"/>
  <c r="L252" i="7"/>
  <c r="M252" i="7"/>
  <c r="N252" i="7"/>
  <c r="O252" i="7"/>
  <c r="R252" i="7"/>
  <c r="S252" i="7"/>
  <c r="T252" i="7"/>
  <c r="U252" i="7"/>
  <c r="V252" i="7"/>
  <c r="W252" i="7"/>
  <c r="X252" i="7"/>
  <c r="Y252" i="7"/>
  <c r="Z252" i="7"/>
  <c r="AA252" i="7"/>
  <c r="C245" i="7"/>
  <c r="D245" i="7"/>
  <c r="E245" i="7"/>
  <c r="F245" i="7"/>
  <c r="G245" i="7"/>
  <c r="C246" i="7"/>
  <c r="D246" i="7"/>
  <c r="E246" i="7"/>
  <c r="F246" i="7"/>
  <c r="G246" i="7"/>
  <c r="C275" i="7"/>
  <c r="C243" i="7"/>
  <c r="C241" i="7"/>
  <c r="C240" i="7" s="1"/>
  <c r="C204" i="7"/>
  <c r="C206" i="7"/>
  <c r="D206" i="7"/>
  <c r="E206" i="7"/>
  <c r="F206" i="7"/>
  <c r="G206" i="7"/>
  <c r="C207" i="7"/>
  <c r="D207" i="7"/>
  <c r="E207" i="7"/>
  <c r="F207" i="7"/>
  <c r="G207" i="7"/>
  <c r="C167" i="7"/>
  <c r="D167" i="7"/>
  <c r="E167" i="7"/>
  <c r="F167" i="7"/>
  <c r="G167" i="7"/>
  <c r="C168" i="7"/>
  <c r="D168" i="7"/>
  <c r="E168" i="7"/>
  <c r="F168" i="7"/>
  <c r="G168" i="7"/>
  <c r="C236" i="7"/>
  <c r="H209" i="7"/>
  <c r="I209" i="7"/>
  <c r="J209" i="7"/>
  <c r="K209" i="7"/>
  <c r="L209" i="7"/>
  <c r="M209" i="7"/>
  <c r="N209" i="7"/>
  <c r="O209" i="7"/>
  <c r="R209" i="7"/>
  <c r="S209" i="7"/>
  <c r="T209" i="7"/>
  <c r="U209" i="7"/>
  <c r="V209" i="7"/>
  <c r="W209" i="7"/>
  <c r="X209" i="7"/>
  <c r="Y209" i="7"/>
  <c r="Z209" i="7"/>
  <c r="AA209" i="7"/>
  <c r="H210" i="7"/>
  <c r="I210" i="7"/>
  <c r="J210" i="7"/>
  <c r="K210" i="7"/>
  <c r="L210" i="7"/>
  <c r="M210" i="7"/>
  <c r="N210" i="7"/>
  <c r="O210" i="7"/>
  <c r="R210" i="7"/>
  <c r="S210" i="7"/>
  <c r="T210" i="7"/>
  <c r="U210" i="7"/>
  <c r="V210" i="7"/>
  <c r="W210" i="7"/>
  <c r="X210" i="7"/>
  <c r="Y210" i="7"/>
  <c r="Z210" i="7"/>
  <c r="AA210" i="7"/>
  <c r="H211" i="7"/>
  <c r="I211" i="7"/>
  <c r="J211" i="7"/>
  <c r="K211" i="7"/>
  <c r="L211" i="7"/>
  <c r="M211" i="7"/>
  <c r="N211" i="7"/>
  <c r="O211" i="7"/>
  <c r="R211" i="7"/>
  <c r="S211" i="7"/>
  <c r="T211" i="7"/>
  <c r="U211" i="7"/>
  <c r="V211" i="7"/>
  <c r="W211" i="7"/>
  <c r="X211" i="7"/>
  <c r="Y211" i="7"/>
  <c r="Z211" i="7"/>
  <c r="AA211" i="7"/>
  <c r="H212" i="7"/>
  <c r="I212" i="7"/>
  <c r="J212" i="7"/>
  <c r="K212" i="7"/>
  <c r="L212" i="7"/>
  <c r="M212" i="7"/>
  <c r="N212" i="7"/>
  <c r="O212" i="7"/>
  <c r="R212" i="7"/>
  <c r="S212" i="7"/>
  <c r="T212" i="7"/>
  <c r="U212" i="7"/>
  <c r="V212" i="7"/>
  <c r="W212" i="7"/>
  <c r="X212" i="7"/>
  <c r="Y212" i="7"/>
  <c r="Z212" i="7"/>
  <c r="AA212" i="7"/>
  <c r="H213" i="7"/>
  <c r="I213" i="7"/>
  <c r="J213" i="7"/>
  <c r="K213" i="7"/>
  <c r="L213" i="7"/>
  <c r="M213" i="7"/>
  <c r="N213" i="7"/>
  <c r="O213" i="7"/>
  <c r="R213" i="7"/>
  <c r="S213" i="7"/>
  <c r="T213" i="7"/>
  <c r="U213" i="7"/>
  <c r="V213" i="7"/>
  <c r="W213" i="7"/>
  <c r="X213" i="7"/>
  <c r="Y213" i="7"/>
  <c r="Z213" i="7"/>
  <c r="AA213" i="7"/>
  <c r="H170" i="7"/>
  <c r="I170" i="7"/>
  <c r="J170" i="7"/>
  <c r="K170" i="7"/>
  <c r="L170" i="7"/>
  <c r="M170" i="7"/>
  <c r="N170" i="7"/>
  <c r="O170" i="7"/>
  <c r="R170" i="7"/>
  <c r="S170" i="7"/>
  <c r="T170" i="7"/>
  <c r="U170" i="7"/>
  <c r="V170" i="7"/>
  <c r="W170" i="7"/>
  <c r="X170" i="7"/>
  <c r="Y170" i="7"/>
  <c r="Z170" i="7"/>
  <c r="AA170" i="7"/>
  <c r="H171" i="7"/>
  <c r="I171" i="7"/>
  <c r="J171" i="7"/>
  <c r="K171" i="7"/>
  <c r="L171" i="7"/>
  <c r="M171" i="7"/>
  <c r="N171" i="7"/>
  <c r="O171" i="7"/>
  <c r="R171" i="7"/>
  <c r="S171" i="7"/>
  <c r="T171" i="7"/>
  <c r="U171" i="7"/>
  <c r="V171" i="7"/>
  <c r="W171" i="7"/>
  <c r="X171" i="7"/>
  <c r="Y171" i="7"/>
  <c r="Z171" i="7"/>
  <c r="AA171" i="7"/>
  <c r="H172" i="7"/>
  <c r="I172" i="7"/>
  <c r="J172" i="7"/>
  <c r="K172" i="7"/>
  <c r="L172" i="7"/>
  <c r="M172" i="7"/>
  <c r="N172" i="7"/>
  <c r="O172" i="7"/>
  <c r="R172" i="7"/>
  <c r="S172" i="7"/>
  <c r="T172" i="7"/>
  <c r="U172" i="7"/>
  <c r="V172" i="7"/>
  <c r="W172" i="7"/>
  <c r="X172" i="7"/>
  <c r="Y172" i="7"/>
  <c r="Z172" i="7"/>
  <c r="AA172" i="7"/>
  <c r="H173" i="7"/>
  <c r="I173" i="7"/>
  <c r="J173" i="7"/>
  <c r="K173" i="7"/>
  <c r="L173" i="7"/>
  <c r="M173" i="7"/>
  <c r="N173" i="7"/>
  <c r="O173" i="7"/>
  <c r="R173" i="7"/>
  <c r="S173" i="7"/>
  <c r="T173" i="7"/>
  <c r="U173" i="7"/>
  <c r="V173" i="7"/>
  <c r="W173" i="7"/>
  <c r="X173" i="7"/>
  <c r="Y173" i="7"/>
  <c r="Z173" i="7"/>
  <c r="AA173" i="7"/>
  <c r="H174" i="7"/>
  <c r="I174" i="7"/>
  <c r="J174" i="7"/>
  <c r="K174" i="7"/>
  <c r="L174" i="7"/>
  <c r="M174" i="7"/>
  <c r="N174" i="7"/>
  <c r="O174" i="7"/>
  <c r="R174" i="7"/>
  <c r="S174" i="7"/>
  <c r="T174" i="7"/>
  <c r="U174" i="7"/>
  <c r="V174" i="7"/>
  <c r="W174" i="7"/>
  <c r="X174" i="7"/>
  <c r="Y174" i="7"/>
  <c r="Z174" i="7"/>
  <c r="AA174" i="7"/>
  <c r="H131" i="7"/>
  <c r="I131" i="7"/>
  <c r="J131" i="7"/>
  <c r="K131" i="7"/>
  <c r="L131" i="7"/>
  <c r="M131" i="7"/>
  <c r="N131" i="7"/>
  <c r="O131" i="7"/>
  <c r="R131" i="7"/>
  <c r="S131" i="7"/>
  <c r="T131" i="7"/>
  <c r="U131" i="7"/>
  <c r="V131" i="7"/>
  <c r="W131" i="7"/>
  <c r="X131" i="7"/>
  <c r="Y131" i="7"/>
  <c r="Z131" i="7"/>
  <c r="AA131" i="7"/>
  <c r="H132" i="7"/>
  <c r="I132" i="7"/>
  <c r="J132" i="7"/>
  <c r="K132" i="7"/>
  <c r="L132" i="7"/>
  <c r="M132" i="7"/>
  <c r="N132" i="7"/>
  <c r="O132" i="7"/>
  <c r="R132" i="7"/>
  <c r="S132" i="7"/>
  <c r="T132" i="7"/>
  <c r="U132" i="7"/>
  <c r="V132" i="7"/>
  <c r="W132" i="7"/>
  <c r="X132" i="7"/>
  <c r="Y132" i="7"/>
  <c r="Z132" i="7"/>
  <c r="AA132" i="7"/>
  <c r="H133" i="7"/>
  <c r="I133" i="7"/>
  <c r="J133" i="7"/>
  <c r="K133" i="7"/>
  <c r="L133" i="7"/>
  <c r="M133" i="7"/>
  <c r="N133" i="7"/>
  <c r="O133" i="7"/>
  <c r="R133" i="7"/>
  <c r="S133" i="7"/>
  <c r="T133" i="7"/>
  <c r="U133" i="7"/>
  <c r="V133" i="7"/>
  <c r="W133" i="7"/>
  <c r="X133" i="7"/>
  <c r="Y133" i="7"/>
  <c r="Z133" i="7"/>
  <c r="AA133" i="7"/>
  <c r="H134" i="7"/>
  <c r="I134" i="7"/>
  <c r="J134" i="7"/>
  <c r="K134" i="7"/>
  <c r="L134" i="7"/>
  <c r="M134" i="7"/>
  <c r="N134" i="7"/>
  <c r="O134" i="7"/>
  <c r="R134" i="7"/>
  <c r="S134" i="7"/>
  <c r="T134" i="7"/>
  <c r="U134" i="7"/>
  <c r="V134" i="7"/>
  <c r="W134" i="7"/>
  <c r="X134" i="7"/>
  <c r="Y134" i="7"/>
  <c r="Z134" i="7"/>
  <c r="AA134" i="7"/>
  <c r="H135" i="7"/>
  <c r="I135" i="7"/>
  <c r="J135" i="7"/>
  <c r="K135" i="7"/>
  <c r="L135" i="7"/>
  <c r="M135" i="7"/>
  <c r="N135" i="7"/>
  <c r="O135" i="7"/>
  <c r="R135" i="7"/>
  <c r="S135" i="7"/>
  <c r="T135" i="7"/>
  <c r="U135" i="7"/>
  <c r="V135" i="7"/>
  <c r="W135" i="7"/>
  <c r="X135" i="7"/>
  <c r="Y135" i="7"/>
  <c r="Z135" i="7"/>
  <c r="AA135" i="7"/>
  <c r="C202" i="7"/>
  <c r="C201" i="7" s="1"/>
  <c r="C197" i="7"/>
  <c r="C165" i="7"/>
  <c r="C158" i="7"/>
  <c r="G129" i="7"/>
  <c r="C126" i="7"/>
  <c r="H92" i="7"/>
  <c r="I92" i="7"/>
  <c r="J92" i="7"/>
  <c r="K92" i="7"/>
  <c r="L92" i="7"/>
  <c r="M92" i="7"/>
  <c r="N92" i="7"/>
  <c r="O92" i="7"/>
  <c r="R92" i="7"/>
  <c r="S92" i="7"/>
  <c r="T92" i="7"/>
  <c r="U92" i="7"/>
  <c r="V92" i="7"/>
  <c r="W92" i="7"/>
  <c r="X92" i="7"/>
  <c r="Y92" i="7"/>
  <c r="Z92" i="7"/>
  <c r="AA92" i="7"/>
  <c r="H93" i="7"/>
  <c r="I93" i="7"/>
  <c r="J93" i="7"/>
  <c r="K93" i="7"/>
  <c r="L93" i="7"/>
  <c r="M93" i="7"/>
  <c r="N93" i="7"/>
  <c r="O93" i="7"/>
  <c r="R93" i="7"/>
  <c r="S93" i="7"/>
  <c r="T93" i="7"/>
  <c r="U93" i="7"/>
  <c r="V93" i="7"/>
  <c r="W93" i="7"/>
  <c r="X93" i="7"/>
  <c r="Y93" i="7"/>
  <c r="Z93" i="7"/>
  <c r="AA93" i="7"/>
  <c r="H94" i="7"/>
  <c r="I94" i="7"/>
  <c r="J94" i="7"/>
  <c r="K94" i="7"/>
  <c r="L94" i="7"/>
  <c r="M94" i="7"/>
  <c r="N94" i="7"/>
  <c r="O94" i="7"/>
  <c r="R94" i="7"/>
  <c r="S94" i="7"/>
  <c r="T94" i="7"/>
  <c r="U94" i="7"/>
  <c r="V94" i="7"/>
  <c r="W94" i="7"/>
  <c r="X94" i="7"/>
  <c r="Y94" i="7"/>
  <c r="Z94" i="7"/>
  <c r="AA94" i="7"/>
  <c r="H95" i="7"/>
  <c r="I95" i="7"/>
  <c r="J95" i="7"/>
  <c r="K95" i="7"/>
  <c r="L95" i="7"/>
  <c r="M95" i="7"/>
  <c r="N95" i="7"/>
  <c r="O95" i="7"/>
  <c r="R95" i="7"/>
  <c r="S95" i="7"/>
  <c r="T95" i="7"/>
  <c r="U95" i="7"/>
  <c r="V95" i="7"/>
  <c r="W95" i="7"/>
  <c r="X95" i="7"/>
  <c r="Y95" i="7"/>
  <c r="Z95" i="7"/>
  <c r="AA95" i="7"/>
  <c r="H96" i="7"/>
  <c r="I96" i="7"/>
  <c r="J96" i="7"/>
  <c r="K96" i="7"/>
  <c r="L96" i="7"/>
  <c r="M96" i="7"/>
  <c r="N96" i="7"/>
  <c r="O96" i="7"/>
  <c r="R96" i="7"/>
  <c r="S96" i="7"/>
  <c r="T96" i="7"/>
  <c r="U96" i="7"/>
  <c r="V96" i="7"/>
  <c r="W96" i="7"/>
  <c r="X96" i="7"/>
  <c r="Y96" i="7"/>
  <c r="Z96" i="7"/>
  <c r="AA96" i="7"/>
  <c r="C90" i="7"/>
  <c r="D90" i="7"/>
  <c r="E90" i="7"/>
  <c r="F90" i="7"/>
  <c r="G90" i="7"/>
  <c r="C89" i="7"/>
  <c r="D89" i="7"/>
  <c r="E89" i="7"/>
  <c r="F89" i="7"/>
  <c r="G89" i="7"/>
  <c r="AA98" i="7"/>
  <c r="Z98" i="7"/>
  <c r="Y98" i="7"/>
  <c r="X98" i="7"/>
  <c r="W98" i="7"/>
  <c r="V98" i="7"/>
  <c r="U98" i="7"/>
  <c r="T98" i="7"/>
  <c r="S98" i="7"/>
  <c r="R98" i="7"/>
  <c r="Q98" i="7"/>
  <c r="P98" i="7"/>
  <c r="O98" i="7"/>
  <c r="N98" i="7"/>
  <c r="M98" i="7"/>
  <c r="L98" i="7"/>
  <c r="K98" i="7"/>
  <c r="J98" i="7"/>
  <c r="I98" i="7"/>
  <c r="H98" i="7"/>
  <c r="G98" i="7"/>
  <c r="F98" i="7"/>
  <c r="E98" i="7"/>
  <c r="D98" i="7"/>
  <c r="C87" i="7"/>
  <c r="B84" i="7"/>
  <c r="B85" i="7"/>
  <c r="B86" i="7"/>
  <c r="B87" i="7"/>
  <c r="B88" i="7"/>
  <c r="B89" i="7"/>
  <c r="B90" i="7"/>
  <c r="B91" i="7"/>
  <c r="B97" i="7"/>
  <c r="B98" i="7"/>
  <c r="B99" i="7"/>
  <c r="B112" i="7"/>
  <c r="B82" i="7"/>
  <c r="B42" i="7"/>
  <c r="C18" i="7"/>
  <c r="C58" i="7" s="1"/>
  <c r="D18" i="7"/>
  <c r="D58" i="7" s="1"/>
  <c r="E18" i="7"/>
  <c r="E58" i="7" s="1"/>
  <c r="F18" i="7"/>
  <c r="F58" i="7" s="1"/>
  <c r="G18" i="7"/>
  <c r="G254" i="7" s="1"/>
  <c r="H18" i="7"/>
  <c r="I18" i="7"/>
  <c r="I58" i="7" s="1"/>
  <c r="J18" i="7"/>
  <c r="J58" i="7" s="1"/>
  <c r="K18" i="7"/>
  <c r="K58" i="7" s="1"/>
  <c r="L18" i="7"/>
  <c r="L176" i="7" s="1"/>
  <c r="M18" i="7"/>
  <c r="M58" i="7" s="1"/>
  <c r="N18" i="7"/>
  <c r="N58" i="7" s="1"/>
  <c r="O18" i="7"/>
  <c r="O254" i="7" s="1"/>
  <c r="P18" i="7"/>
  <c r="Q18" i="7"/>
  <c r="Q58" i="7" s="1"/>
  <c r="R18" i="7"/>
  <c r="R58" i="7" s="1"/>
  <c r="S18" i="7"/>
  <c r="S58" i="7" s="1"/>
  <c r="T18" i="7"/>
  <c r="T137" i="7" s="1"/>
  <c r="U18" i="7"/>
  <c r="U58" i="7" s="1"/>
  <c r="V18" i="7"/>
  <c r="V58" i="7" s="1"/>
  <c r="W18" i="7"/>
  <c r="W254" i="7" s="1"/>
  <c r="X18" i="7"/>
  <c r="Y18" i="7"/>
  <c r="Y58" i="7" s="1"/>
  <c r="Z18" i="7"/>
  <c r="Z58" i="7" s="1"/>
  <c r="AA18" i="7"/>
  <c r="AA58" i="7" s="1"/>
  <c r="B44" i="7"/>
  <c r="B45" i="7"/>
  <c r="B46" i="7"/>
  <c r="B47" i="7"/>
  <c r="B48" i="7"/>
  <c r="B49" i="7"/>
  <c r="B50" i="7"/>
  <c r="B51" i="7"/>
  <c r="B57" i="7"/>
  <c r="B58" i="7"/>
  <c r="B59" i="7"/>
  <c r="B72" i="7"/>
  <c r="C119" i="7"/>
  <c r="C79" i="7"/>
  <c r="C47" i="7"/>
  <c r="S41" i="5" l="1"/>
  <c r="R47" i="5"/>
  <c r="R41" i="5"/>
  <c r="N47" i="5"/>
  <c r="M44" i="5"/>
  <c r="I47" i="10"/>
  <c r="J44" i="10"/>
  <c r="I41" i="10"/>
  <c r="C31" i="10"/>
  <c r="C25" i="10"/>
  <c r="H31" i="10"/>
  <c r="I28" i="10"/>
  <c r="H25" i="10"/>
  <c r="R25" i="5"/>
  <c r="S28" i="5"/>
  <c r="R31" i="5"/>
  <c r="N25" i="5"/>
  <c r="M28" i="5"/>
  <c r="N31" i="5"/>
  <c r="T41" i="5"/>
  <c r="T47" i="5"/>
  <c r="H247" i="7"/>
  <c r="T247" i="7"/>
  <c r="Z247" i="7"/>
  <c r="J247" i="7"/>
  <c r="N247" i="7"/>
  <c r="E254" i="7"/>
  <c r="Y91" i="7"/>
  <c r="I247" i="7"/>
  <c r="M247" i="7"/>
  <c r="W58" i="7"/>
  <c r="U254" i="7"/>
  <c r="O58" i="7"/>
  <c r="M254" i="7"/>
  <c r="G58" i="7"/>
  <c r="X254" i="7"/>
  <c r="X58" i="7"/>
  <c r="H254" i="7"/>
  <c r="H58" i="7"/>
  <c r="AA247" i="7"/>
  <c r="P254" i="7"/>
  <c r="P58" i="7"/>
  <c r="V254" i="7"/>
  <c r="N254" i="7"/>
  <c r="F254" i="7"/>
  <c r="X130" i="7"/>
  <c r="T254" i="7"/>
  <c r="L254" i="7"/>
  <c r="D254" i="7"/>
  <c r="AA169" i="7"/>
  <c r="Y247" i="7"/>
  <c r="O247" i="7"/>
  <c r="AA254" i="7"/>
  <c r="S254" i="7"/>
  <c r="K254" i="7"/>
  <c r="C254" i="7"/>
  <c r="V247" i="7"/>
  <c r="X247" i="7"/>
  <c r="Z254" i="7"/>
  <c r="R254" i="7"/>
  <c r="J254" i="7"/>
  <c r="T58" i="7"/>
  <c r="L58" i="7"/>
  <c r="S247" i="7"/>
  <c r="W247" i="7"/>
  <c r="Y254" i="7"/>
  <c r="Q254" i="7"/>
  <c r="I254" i="7"/>
  <c r="K91" i="7"/>
  <c r="R247" i="7"/>
  <c r="L247" i="7"/>
  <c r="U247" i="7"/>
  <c r="K247" i="7"/>
  <c r="T91" i="7"/>
  <c r="L91" i="7"/>
  <c r="L130" i="7"/>
  <c r="Y51" i="7"/>
  <c r="Z130" i="7"/>
  <c r="S130" i="7"/>
  <c r="I130" i="7"/>
  <c r="U130" i="7"/>
  <c r="W130" i="7"/>
  <c r="Y130" i="7"/>
  <c r="U169" i="7"/>
  <c r="K169" i="7"/>
  <c r="S91" i="7"/>
  <c r="N130" i="7"/>
  <c r="Y176" i="7"/>
  <c r="Q137" i="7"/>
  <c r="I176" i="7"/>
  <c r="X137" i="7"/>
  <c r="N176" i="7"/>
  <c r="P137" i="7"/>
  <c r="E137" i="7"/>
  <c r="H137" i="7"/>
  <c r="C98" i="7"/>
  <c r="Z137" i="7"/>
  <c r="R137" i="7"/>
  <c r="K51" i="7"/>
  <c r="M51" i="7"/>
  <c r="AA91" i="7"/>
  <c r="J130" i="7"/>
  <c r="N169" i="7"/>
  <c r="Z169" i="7"/>
  <c r="R169" i="7"/>
  <c r="T51" i="7"/>
  <c r="L51" i="7"/>
  <c r="O91" i="7"/>
  <c r="R130" i="7"/>
  <c r="N51" i="7"/>
  <c r="AA130" i="7"/>
  <c r="W91" i="7"/>
  <c r="M91" i="7"/>
  <c r="I91" i="7"/>
  <c r="T130" i="7"/>
  <c r="L169" i="7"/>
  <c r="X91" i="7"/>
  <c r="N91" i="7"/>
  <c r="J91" i="7"/>
  <c r="O130" i="7"/>
  <c r="U91" i="7"/>
  <c r="V91" i="7"/>
  <c r="Z91" i="7"/>
  <c r="R91" i="7"/>
  <c r="M169" i="7"/>
  <c r="Y169" i="7"/>
  <c r="I137" i="7"/>
  <c r="W215" i="7"/>
  <c r="W176" i="7"/>
  <c r="W137" i="7"/>
  <c r="O215" i="7"/>
  <c r="O176" i="7"/>
  <c r="O137" i="7"/>
  <c r="G215" i="7"/>
  <c r="G176" i="7"/>
  <c r="G137" i="7"/>
  <c r="E215" i="7"/>
  <c r="V215" i="7"/>
  <c r="V137" i="7"/>
  <c r="N215" i="7"/>
  <c r="N137" i="7"/>
  <c r="F215" i="7"/>
  <c r="F137" i="7"/>
  <c r="M176" i="7"/>
  <c r="M215" i="7"/>
  <c r="F176" i="7"/>
  <c r="U176" i="7"/>
  <c r="U215" i="7"/>
  <c r="D215" i="7"/>
  <c r="Y137" i="7"/>
  <c r="D137" i="7"/>
  <c r="D176" i="7"/>
  <c r="E176" i="7"/>
  <c r="T215" i="7"/>
  <c r="L215" i="7"/>
  <c r="AA137" i="7"/>
  <c r="AA176" i="7"/>
  <c r="S137" i="7"/>
  <c r="S176" i="7"/>
  <c r="K137" i="7"/>
  <c r="K176" i="7"/>
  <c r="C137" i="7"/>
  <c r="C215" i="7"/>
  <c r="C176" i="7"/>
  <c r="Z176" i="7"/>
  <c r="Z215" i="7"/>
  <c r="R215" i="7"/>
  <c r="R176" i="7"/>
  <c r="J215" i="7"/>
  <c r="J176" i="7"/>
  <c r="M137" i="7"/>
  <c r="V176" i="7"/>
  <c r="AA215" i="7"/>
  <c r="L137" i="7"/>
  <c r="T176" i="7"/>
  <c r="S215" i="7"/>
  <c r="Y215" i="7"/>
  <c r="Q215" i="7"/>
  <c r="I215" i="7"/>
  <c r="X215" i="7"/>
  <c r="X176" i="7"/>
  <c r="P215" i="7"/>
  <c r="P176" i="7"/>
  <c r="H215" i="7"/>
  <c r="H176" i="7"/>
  <c r="U137" i="7"/>
  <c r="J137" i="7"/>
  <c r="Q176" i="7"/>
  <c r="K215" i="7"/>
  <c r="I169" i="7"/>
  <c r="H169" i="7"/>
  <c r="J169" i="7"/>
  <c r="X169" i="7"/>
  <c r="T169" i="7"/>
  <c r="O169" i="7"/>
  <c r="W169" i="7"/>
  <c r="S169" i="7"/>
  <c r="V169" i="7"/>
  <c r="H130" i="7"/>
  <c r="K130" i="7"/>
  <c r="M130" i="7"/>
  <c r="V130" i="7"/>
  <c r="H91" i="7"/>
  <c r="AA51" i="7"/>
  <c r="S51" i="7"/>
  <c r="U51" i="7"/>
  <c r="O51" i="7"/>
  <c r="H51" i="7"/>
  <c r="V51" i="7"/>
  <c r="Z51" i="7"/>
  <c r="R51" i="7"/>
  <c r="I51" i="7"/>
  <c r="W51" i="7"/>
  <c r="J51" i="7"/>
  <c r="X51" i="7"/>
  <c r="AA11" i="7"/>
  <c r="AA3" i="7"/>
  <c r="AA2" i="4"/>
  <c r="AA5" i="4"/>
  <c r="AA6" i="4"/>
  <c r="AA10" i="4"/>
  <c r="AA9" i="4" s="1"/>
  <c r="AA11" i="4"/>
  <c r="AA16" i="4"/>
  <c r="AA19" i="4"/>
  <c r="AA20" i="4"/>
  <c r="H11" i="4"/>
  <c r="H10" i="4"/>
  <c r="M41" i="5" l="1"/>
  <c r="M47" i="5"/>
  <c r="J47" i="10"/>
  <c r="J41" i="10"/>
  <c r="I25" i="10"/>
  <c r="I31" i="10"/>
  <c r="J28" i="10"/>
  <c r="S25" i="5"/>
  <c r="T28" i="5"/>
  <c r="S31" i="5"/>
  <c r="M25" i="5"/>
  <c r="M31" i="5"/>
  <c r="AA29" i="7"/>
  <c r="AA83" i="7"/>
  <c r="AA43" i="7"/>
  <c r="AA60" i="7" s="1"/>
  <c r="AA31" i="7"/>
  <c r="AA30" i="7"/>
  <c r="AA25" i="7"/>
  <c r="AA26" i="7"/>
  <c r="AA28" i="7"/>
  <c r="AA24" i="7"/>
  <c r="AA27" i="7"/>
  <c r="AA9" i="7"/>
  <c r="AA21" i="7"/>
  <c r="H11" i="7"/>
  <c r="I11" i="7"/>
  <c r="J11" i="7"/>
  <c r="K11" i="7"/>
  <c r="L11" i="7"/>
  <c r="M11" i="7"/>
  <c r="N11" i="7"/>
  <c r="R11" i="7"/>
  <c r="S11" i="7"/>
  <c r="T11" i="7"/>
  <c r="U11" i="7"/>
  <c r="V11" i="7"/>
  <c r="W11" i="7"/>
  <c r="X11" i="7"/>
  <c r="Y11" i="7"/>
  <c r="Z11" i="7"/>
  <c r="B12" i="7"/>
  <c r="B13" i="7"/>
  <c r="B14" i="7"/>
  <c r="B15" i="7"/>
  <c r="B16" i="7"/>
  <c r="B20" i="7"/>
  <c r="C21" i="7"/>
  <c r="C25" i="7"/>
  <c r="C26" i="7"/>
  <c r="C27" i="7"/>
  <c r="C28" i="7"/>
  <c r="C29" i="7"/>
  <c r="C30" i="7"/>
  <c r="C31" i="7"/>
  <c r="B30" i="7"/>
  <c r="B31" i="7"/>
  <c r="B21" i="7"/>
  <c r="B22" i="7"/>
  <c r="B23" i="7"/>
  <c r="B24" i="7"/>
  <c r="B25" i="7"/>
  <c r="B26" i="7"/>
  <c r="B27" i="7"/>
  <c r="B28" i="7"/>
  <c r="B29" i="7"/>
  <c r="C7" i="7"/>
  <c r="J31" i="10" l="1"/>
  <c r="J25" i="10"/>
  <c r="T31" i="5"/>
  <c r="T25" i="5"/>
  <c r="AA264" i="7"/>
  <c r="AA68" i="7"/>
  <c r="C264" i="7"/>
  <c r="C68" i="7"/>
  <c r="AA262" i="7"/>
  <c r="AA66" i="7"/>
  <c r="AA65" i="7"/>
  <c r="AA261" i="7"/>
  <c r="C67" i="7"/>
  <c r="C263" i="7"/>
  <c r="C66" i="7"/>
  <c r="C262" i="7"/>
  <c r="AA70" i="7"/>
  <c r="AA266" i="7"/>
  <c r="C265" i="7"/>
  <c r="C69" i="7"/>
  <c r="C65" i="7"/>
  <c r="C261" i="7"/>
  <c r="AA61" i="7"/>
  <c r="AA257" i="7"/>
  <c r="AA71" i="7"/>
  <c r="AA267" i="7"/>
  <c r="C61" i="7"/>
  <c r="C257" i="7"/>
  <c r="AA49" i="7"/>
  <c r="AA245" i="7"/>
  <c r="C71" i="7"/>
  <c r="C267" i="7"/>
  <c r="AA67" i="7"/>
  <c r="AA263" i="7"/>
  <c r="C70" i="7"/>
  <c r="C266" i="7"/>
  <c r="AA64" i="7"/>
  <c r="AA260" i="7"/>
  <c r="AA265" i="7"/>
  <c r="AA69" i="7"/>
  <c r="AA206" i="7"/>
  <c r="AA167" i="7"/>
  <c r="AA224" i="7"/>
  <c r="AA146" i="7"/>
  <c r="AA185" i="7"/>
  <c r="AA107" i="7"/>
  <c r="C227" i="7"/>
  <c r="C188" i="7"/>
  <c r="C110" i="7"/>
  <c r="C149" i="7"/>
  <c r="AA221" i="7"/>
  <c r="AA182" i="7"/>
  <c r="AA143" i="7"/>
  <c r="AA104" i="7"/>
  <c r="C226" i="7"/>
  <c r="C187" i="7"/>
  <c r="C109" i="7"/>
  <c r="C148" i="7"/>
  <c r="AA225" i="7"/>
  <c r="AA186" i="7"/>
  <c r="AA147" i="7"/>
  <c r="AA108" i="7"/>
  <c r="C225" i="7"/>
  <c r="C186" i="7"/>
  <c r="C108" i="7"/>
  <c r="C147" i="7"/>
  <c r="AA223" i="7"/>
  <c r="AA184" i="7"/>
  <c r="AA145" i="7"/>
  <c r="AA106" i="7"/>
  <c r="C224" i="7"/>
  <c r="C146" i="7"/>
  <c r="C185" i="7"/>
  <c r="C107" i="7"/>
  <c r="AA222" i="7"/>
  <c r="AA183" i="7"/>
  <c r="AA144" i="7"/>
  <c r="AA105" i="7"/>
  <c r="C189" i="7"/>
  <c r="C150" i="7"/>
  <c r="C111" i="7"/>
  <c r="C228" i="7"/>
  <c r="C223" i="7"/>
  <c r="C145" i="7"/>
  <c r="C184" i="7"/>
  <c r="C106" i="7"/>
  <c r="AA227" i="7"/>
  <c r="AA188" i="7"/>
  <c r="AA110" i="7"/>
  <c r="AA149" i="7"/>
  <c r="C222" i="7"/>
  <c r="C183" i="7"/>
  <c r="C144" i="7"/>
  <c r="C105" i="7"/>
  <c r="AA179" i="7"/>
  <c r="AA218" i="7"/>
  <c r="AA140" i="7"/>
  <c r="AA101" i="7"/>
  <c r="AA228" i="7"/>
  <c r="AA189" i="7"/>
  <c r="AA150" i="7"/>
  <c r="AA111" i="7"/>
  <c r="C179" i="7"/>
  <c r="C218" i="7"/>
  <c r="C101" i="7"/>
  <c r="C140" i="7"/>
  <c r="AA89" i="7"/>
  <c r="AA226" i="7"/>
  <c r="AA187" i="7"/>
  <c r="AA109" i="7"/>
  <c r="AA148" i="7"/>
  <c r="B62" i="7"/>
  <c r="B102" i="7"/>
  <c r="B93" i="7"/>
  <c r="B53" i="7"/>
  <c r="B101" i="7"/>
  <c r="B61" i="7"/>
  <c r="B92" i="7"/>
  <c r="B52" i="7"/>
  <c r="B109" i="7"/>
  <c r="B69" i="7"/>
  <c r="B108" i="7"/>
  <c r="B68" i="7"/>
  <c r="B71" i="7"/>
  <c r="B111" i="7"/>
  <c r="B107" i="7"/>
  <c r="B67" i="7"/>
  <c r="B54" i="7"/>
  <c r="B94" i="7"/>
  <c r="B70" i="7"/>
  <c r="B110" i="7"/>
  <c r="B106" i="7"/>
  <c r="B66" i="7"/>
  <c r="B100" i="7"/>
  <c r="B60" i="7"/>
  <c r="B63" i="7"/>
  <c r="B103" i="7"/>
  <c r="B56" i="7"/>
  <c r="B96" i="7"/>
  <c r="B105" i="7"/>
  <c r="B65" i="7"/>
  <c r="B64" i="7"/>
  <c r="B104" i="7"/>
  <c r="B55" i="7"/>
  <c r="B95" i="7"/>
  <c r="E19" i="3"/>
  <c r="C24" i="7" s="1"/>
  <c r="C182" i="7" s="1"/>
  <c r="C3" i="7"/>
  <c r="D3" i="7"/>
  <c r="E3" i="7"/>
  <c r="F3" i="7"/>
  <c r="G3" i="7"/>
  <c r="H3" i="7"/>
  <c r="I3" i="7"/>
  <c r="J3" i="7"/>
  <c r="K3" i="7"/>
  <c r="L3" i="7"/>
  <c r="M3" i="7"/>
  <c r="N3" i="7"/>
  <c r="O3" i="7"/>
  <c r="P3" i="7"/>
  <c r="Q3" i="7"/>
  <c r="R3" i="7"/>
  <c r="S3" i="7"/>
  <c r="T3" i="7"/>
  <c r="U3" i="7"/>
  <c r="V3" i="7"/>
  <c r="W3" i="7"/>
  <c r="X3" i="7"/>
  <c r="Y3" i="7"/>
  <c r="Z3" i="7"/>
  <c r="D40" i="3"/>
  <c r="D39" i="3"/>
  <c r="D38" i="3"/>
  <c r="D37" i="3"/>
  <c r="D36" i="3"/>
  <c r="D71" i="3"/>
  <c r="E71" i="3"/>
  <c r="D18" i="3"/>
  <c r="E18" i="3"/>
  <c r="E17" i="3"/>
  <c r="D17" i="3"/>
  <c r="D258" i="7" l="1"/>
  <c r="C22" i="7"/>
  <c r="E258" i="7"/>
  <c r="F258" i="7"/>
  <c r="G258" i="7"/>
  <c r="H258" i="7"/>
  <c r="C258" i="7"/>
  <c r="D22" i="7"/>
  <c r="P248" i="7"/>
  <c r="Q248" i="7"/>
  <c r="P249" i="7"/>
  <c r="Q249" i="7"/>
  <c r="P250" i="7"/>
  <c r="Q250" i="7"/>
  <c r="Q252" i="7"/>
  <c r="P252" i="7"/>
  <c r="P251" i="7"/>
  <c r="Q251" i="7"/>
  <c r="P12" i="7"/>
  <c r="F250" i="7"/>
  <c r="G250" i="7"/>
  <c r="F252" i="7"/>
  <c r="G252" i="7"/>
  <c r="F248" i="7"/>
  <c r="G248" i="7"/>
  <c r="F251" i="7"/>
  <c r="G251" i="7"/>
  <c r="F249" i="7"/>
  <c r="G249" i="7"/>
  <c r="F12" i="7"/>
  <c r="G259" i="7"/>
  <c r="D259" i="7"/>
  <c r="E259" i="7"/>
  <c r="F259" i="7"/>
  <c r="C259" i="7"/>
  <c r="D23" i="7"/>
  <c r="P212" i="7"/>
  <c r="Q212" i="7"/>
  <c r="P213" i="7"/>
  <c r="Q213" i="7"/>
  <c r="P209" i="7"/>
  <c r="Q209" i="7"/>
  <c r="P211" i="7"/>
  <c r="Q211" i="7"/>
  <c r="P210" i="7"/>
  <c r="Q210" i="7"/>
  <c r="F211" i="7"/>
  <c r="G211" i="7"/>
  <c r="F213" i="7"/>
  <c r="G213" i="7"/>
  <c r="F209" i="7"/>
  <c r="G209" i="7"/>
  <c r="F212" i="7"/>
  <c r="G212" i="7"/>
  <c r="G210" i="7"/>
  <c r="F210" i="7"/>
  <c r="D180" i="7"/>
  <c r="E180" i="7"/>
  <c r="F180" i="7"/>
  <c r="G180" i="7"/>
  <c r="F181" i="7"/>
  <c r="G181" i="7"/>
  <c r="H181" i="7"/>
  <c r="D181" i="7"/>
  <c r="E181" i="7"/>
  <c r="C180" i="7"/>
  <c r="C181" i="7"/>
  <c r="P134" i="7"/>
  <c r="Q134" i="7"/>
  <c r="Q135" i="7"/>
  <c r="P135" i="7"/>
  <c r="P131" i="7"/>
  <c r="Q131" i="7"/>
  <c r="P133" i="7"/>
  <c r="Q133" i="7"/>
  <c r="Q132" i="7"/>
  <c r="P132" i="7"/>
  <c r="F134" i="7"/>
  <c r="G134" i="7"/>
  <c r="F131" i="7"/>
  <c r="G131" i="7"/>
  <c r="F133" i="7"/>
  <c r="G133" i="7"/>
  <c r="F135" i="7"/>
  <c r="G135" i="7"/>
  <c r="F132" i="7"/>
  <c r="G132" i="7"/>
  <c r="AA102" i="7"/>
  <c r="AA103" i="7"/>
  <c r="C102" i="7"/>
  <c r="C103" i="7"/>
  <c r="C64" i="7"/>
  <c r="C260" i="7"/>
  <c r="AA128" i="7"/>
  <c r="C221" i="7"/>
  <c r="C143" i="7"/>
  <c r="C104" i="7"/>
  <c r="O83" i="7"/>
  <c r="O102" i="7" s="1"/>
  <c r="O43" i="7"/>
  <c r="O60" i="7" s="1"/>
  <c r="N43" i="7"/>
  <c r="N60" i="7" s="1"/>
  <c r="N83" i="7"/>
  <c r="N102" i="7" s="1"/>
  <c r="F43" i="7"/>
  <c r="F60" i="7" s="1"/>
  <c r="F83" i="7"/>
  <c r="F102" i="7" s="1"/>
  <c r="U83" i="7"/>
  <c r="U102" i="7" s="1"/>
  <c r="U43" i="7"/>
  <c r="U60" i="7" s="1"/>
  <c r="D83" i="7"/>
  <c r="D102" i="7" s="1"/>
  <c r="D43" i="7"/>
  <c r="D60" i="7" s="1"/>
  <c r="E83" i="7"/>
  <c r="E102" i="7" s="1"/>
  <c r="E43" i="7"/>
  <c r="E60" i="7" s="1"/>
  <c r="G83" i="7"/>
  <c r="G103" i="7" s="1"/>
  <c r="G43" i="7"/>
  <c r="G60" i="7" s="1"/>
  <c r="K83" i="7"/>
  <c r="K103" i="7" s="1"/>
  <c r="K43" i="7"/>
  <c r="K60" i="7" s="1"/>
  <c r="J43" i="7"/>
  <c r="J60" i="7" s="1"/>
  <c r="J83" i="7"/>
  <c r="J103" i="7" s="1"/>
  <c r="W83" i="7"/>
  <c r="W102" i="7" s="1"/>
  <c r="W43" i="7"/>
  <c r="W60" i="7" s="1"/>
  <c r="L83" i="7"/>
  <c r="L102" i="7" s="1"/>
  <c r="L43" i="7"/>
  <c r="L60" i="7" s="1"/>
  <c r="I83" i="7"/>
  <c r="I103" i="7" s="1"/>
  <c r="I43" i="7"/>
  <c r="I60" i="7" s="1"/>
  <c r="V43" i="7"/>
  <c r="V60" i="7" s="1"/>
  <c r="V83" i="7"/>
  <c r="V102" i="7" s="1"/>
  <c r="M83" i="7"/>
  <c r="M103" i="7" s="1"/>
  <c r="M43" i="7"/>
  <c r="M60" i="7" s="1"/>
  <c r="T83" i="7"/>
  <c r="T102" i="7" s="1"/>
  <c r="T43" i="7"/>
  <c r="T60" i="7" s="1"/>
  <c r="S83" i="7"/>
  <c r="S102" i="7" s="1"/>
  <c r="S43" i="7"/>
  <c r="S60" i="7" s="1"/>
  <c r="C83" i="7"/>
  <c r="C43" i="7"/>
  <c r="C60" i="7" s="1"/>
  <c r="Z43" i="7"/>
  <c r="Z60" i="7" s="1"/>
  <c r="Z83" i="7"/>
  <c r="Z103" i="7" s="1"/>
  <c r="R83" i="7"/>
  <c r="R103" i="7" s="1"/>
  <c r="R43" i="7"/>
  <c r="R60" i="7" s="1"/>
  <c r="Y83" i="7"/>
  <c r="Y102" i="7" s="1"/>
  <c r="Y43" i="7"/>
  <c r="Y60" i="7" s="1"/>
  <c r="Q83" i="7"/>
  <c r="Q103" i="7" s="1"/>
  <c r="Q43" i="7"/>
  <c r="Q60" i="7" s="1"/>
  <c r="X43" i="7"/>
  <c r="X60" i="7" s="1"/>
  <c r="X83" i="7"/>
  <c r="X102" i="7" s="1"/>
  <c r="P43" i="7"/>
  <c r="P60" i="7" s="1"/>
  <c r="P83" i="7"/>
  <c r="P102" i="7" s="1"/>
  <c r="H43" i="7"/>
  <c r="H60" i="7" s="1"/>
  <c r="H83" i="7"/>
  <c r="H102" i="7" s="1"/>
  <c r="AA22" i="7"/>
  <c r="Q13" i="7"/>
  <c r="Q14" i="7"/>
  <c r="Q15" i="7"/>
  <c r="Q16" i="7"/>
  <c r="AA23" i="7"/>
  <c r="Q12" i="7"/>
  <c r="G14" i="7"/>
  <c r="P14" i="7"/>
  <c r="G13" i="7"/>
  <c r="P13" i="7"/>
  <c r="G15" i="7"/>
  <c r="P15" i="7"/>
  <c r="G16" i="7"/>
  <c r="P16" i="7"/>
  <c r="G12" i="7"/>
  <c r="D4" i="4"/>
  <c r="AA4" i="4"/>
  <c r="AA3" i="4" s="1"/>
  <c r="D12" i="7"/>
  <c r="E12" i="7"/>
  <c r="C15" i="7"/>
  <c r="D15" i="7"/>
  <c r="E15" i="7"/>
  <c r="F15" i="7"/>
  <c r="C13" i="7"/>
  <c r="D13" i="7"/>
  <c r="E13" i="7"/>
  <c r="F13" i="7"/>
  <c r="C14" i="7"/>
  <c r="F14" i="7"/>
  <c r="D14" i="7"/>
  <c r="E14" i="7"/>
  <c r="C16" i="7"/>
  <c r="E16" i="7"/>
  <c r="D16" i="7"/>
  <c r="F16" i="7"/>
  <c r="C12" i="7"/>
  <c r="P31" i="7"/>
  <c r="P9" i="7"/>
  <c r="P30" i="7"/>
  <c r="P28" i="7"/>
  <c r="P26" i="7"/>
  <c r="P24" i="7"/>
  <c r="P21" i="7"/>
  <c r="P29" i="7"/>
  <c r="P27" i="7"/>
  <c r="P22" i="7"/>
  <c r="P25" i="7"/>
  <c r="X9" i="7"/>
  <c r="X31" i="7"/>
  <c r="X29" i="7"/>
  <c r="X27" i="7"/>
  <c r="X30" i="7"/>
  <c r="X28" i="7"/>
  <c r="X26" i="7"/>
  <c r="X24" i="7"/>
  <c r="X21" i="7"/>
  <c r="X25" i="7"/>
  <c r="X22" i="7"/>
  <c r="W9" i="7"/>
  <c r="W25" i="7"/>
  <c r="W31" i="7"/>
  <c r="W30" i="7"/>
  <c r="W28" i="7"/>
  <c r="W26" i="7"/>
  <c r="W24" i="7"/>
  <c r="W21" i="7"/>
  <c r="W29" i="7"/>
  <c r="W27" i="7"/>
  <c r="W22" i="7"/>
  <c r="G27" i="7"/>
  <c r="G30" i="7"/>
  <c r="G28" i="7"/>
  <c r="G26" i="7"/>
  <c r="G24" i="7"/>
  <c r="G182" i="7" s="1"/>
  <c r="G21" i="7"/>
  <c r="G29" i="7"/>
  <c r="G31" i="7"/>
  <c r="G22" i="7"/>
  <c r="G25" i="7"/>
  <c r="V31" i="7"/>
  <c r="V29" i="7"/>
  <c r="V27" i="7"/>
  <c r="V25" i="7"/>
  <c r="V22" i="7"/>
  <c r="V9" i="7"/>
  <c r="V30" i="7"/>
  <c r="V28" i="7"/>
  <c r="V26" i="7"/>
  <c r="V24" i="7"/>
  <c r="V21" i="7"/>
  <c r="E24" i="7"/>
  <c r="E182" i="7" s="1"/>
  <c r="E21" i="7"/>
  <c r="E27" i="7"/>
  <c r="E30" i="7"/>
  <c r="E25" i="7"/>
  <c r="E26" i="7"/>
  <c r="E29" i="7"/>
  <c r="E28" i="7"/>
  <c r="E22" i="7"/>
  <c r="E31" i="7"/>
  <c r="T24" i="7"/>
  <c r="T31" i="7"/>
  <c r="T29" i="7"/>
  <c r="T27" i="7"/>
  <c r="T25" i="7"/>
  <c r="T22" i="7"/>
  <c r="T21" i="7"/>
  <c r="T30" i="7"/>
  <c r="T28" i="7"/>
  <c r="T26" i="7"/>
  <c r="T9" i="7"/>
  <c r="D27" i="7"/>
  <c r="D30" i="7"/>
  <c r="D24" i="7"/>
  <c r="D182" i="7" s="1"/>
  <c r="D25" i="7"/>
  <c r="D29" i="7"/>
  <c r="D21" i="7"/>
  <c r="D28" i="7"/>
  <c r="D31" i="7"/>
  <c r="D26" i="7"/>
  <c r="S30" i="7"/>
  <c r="S28" i="7"/>
  <c r="S26" i="7"/>
  <c r="S31" i="7"/>
  <c r="S29" i="7"/>
  <c r="S27" i="7"/>
  <c r="S25" i="7"/>
  <c r="S22" i="7"/>
  <c r="S24" i="7"/>
  <c r="S21" i="7"/>
  <c r="S9" i="7"/>
  <c r="K9" i="7"/>
  <c r="F29" i="7"/>
  <c r="F26" i="7"/>
  <c r="F24" i="7"/>
  <c r="F182" i="7" s="1"/>
  <c r="F21" i="7"/>
  <c r="F22" i="7"/>
  <c r="F31" i="7"/>
  <c r="F27" i="7"/>
  <c r="F30" i="7"/>
  <c r="F25" i="7"/>
  <c r="F28" i="7"/>
  <c r="M9" i="7"/>
  <c r="L9" i="7"/>
  <c r="Z30" i="7"/>
  <c r="Z28" i="7"/>
  <c r="Z26" i="7"/>
  <c r="Z24" i="7"/>
  <c r="Z21" i="7"/>
  <c r="Z9" i="7"/>
  <c r="Z31" i="7"/>
  <c r="Z29" i="7"/>
  <c r="Z27" i="7"/>
  <c r="Z25" i="7"/>
  <c r="Z22" i="7"/>
  <c r="R30" i="7"/>
  <c r="R28" i="7"/>
  <c r="R26" i="7"/>
  <c r="R24" i="7"/>
  <c r="R21" i="7"/>
  <c r="R9" i="7"/>
  <c r="R31" i="7"/>
  <c r="R29" i="7"/>
  <c r="R27" i="7"/>
  <c r="R25" i="7"/>
  <c r="R22" i="7"/>
  <c r="J9" i="7"/>
  <c r="H9" i="7"/>
  <c r="H30" i="7"/>
  <c r="H28" i="7"/>
  <c r="H26" i="7"/>
  <c r="H24" i="7"/>
  <c r="H21" i="7"/>
  <c r="H25" i="7"/>
  <c r="H22" i="7"/>
  <c r="H31" i="7"/>
  <c r="H29" i="7"/>
  <c r="H27" i="7"/>
  <c r="O9" i="7"/>
  <c r="O29" i="7"/>
  <c r="O31" i="7"/>
  <c r="O22" i="7"/>
  <c r="O30" i="7"/>
  <c r="O28" i="7"/>
  <c r="O26" i="7"/>
  <c r="O24" i="7"/>
  <c r="O21" i="7"/>
  <c r="O27" i="7"/>
  <c r="O25" i="7"/>
  <c r="N9" i="7"/>
  <c r="U31" i="7"/>
  <c r="U29" i="7"/>
  <c r="U27" i="7"/>
  <c r="U25" i="7"/>
  <c r="U22" i="7"/>
  <c r="U9" i="7"/>
  <c r="U30" i="7"/>
  <c r="U28" i="7"/>
  <c r="U26" i="7"/>
  <c r="U24" i="7"/>
  <c r="U21" i="7"/>
  <c r="Y30" i="7"/>
  <c r="Y28" i="7"/>
  <c r="Y26" i="7"/>
  <c r="Y24" i="7"/>
  <c r="Y21" i="7"/>
  <c r="Y9" i="7"/>
  <c r="Y31" i="7"/>
  <c r="Y29" i="7"/>
  <c r="Y27" i="7"/>
  <c r="Y25" i="7"/>
  <c r="Y22" i="7"/>
  <c r="Q30" i="7"/>
  <c r="Q28" i="7"/>
  <c r="Q26" i="7"/>
  <c r="Q24" i="7"/>
  <c r="Q21" i="7"/>
  <c r="Q9" i="7"/>
  <c r="Q31" i="7"/>
  <c r="Q29" i="7"/>
  <c r="Q27" i="7"/>
  <c r="Q25" i="7"/>
  <c r="Q22" i="7"/>
  <c r="I9" i="7"/>
  <c r="X23" i="7"/>
  <c r="P23" i="7"/>
  <c r="H23" i="7"/>
  <c r="Z23" i="7"/>
  <c r="Q23" i="7"/>
  <c r="W23" i="7"/>
  <c r="O23" i="7"/>
  <c r="G23" i="7"/>
  <c r="V23" i="7"/>
  <c r="U23" i="7"/>
  <c r="R23" i="7"/>
  <c r="Y23" i="7"/>
  <c r="T23" i="7"/>
  <c r="S23" i="7"/>
  <c r="E23" i="7"/>
  <c r="F23" i="7"/>
  <c r="C23" i="7"/>
  <c r="R4" i="4"/>
  <c r="P4" i="4"/>
  <c r="N4" i="4"/>
  <c r="K4" i="4"/>
  <c r="Z4" i="4"/>
  <c r="J4" i="4"/>
  <c r="X4" i="4"/>
  <c r="H4" i="4"/>
  <c r="V4" i="4"/>
  <c r="F4" i="4"/>
  <c r="S4" i="4"/>
  <c r="C4" i="4"/>
  <c r="Y4" i="4"/>
  <c r="Q4" i="4"/>
  <c r="I4" i="4"/>
  <c r="W4" i="4"/>
  <c r="O4" i="4"/>
  <c r="G4" i="4"/>
  <c r="U4" i="4"/>
  <c r="M4" i="4"/>
  <c r="E4" i="4"/>
  <c r="T4" i="4"/>
  <c r="L4" i="4"/>
  <c r="V103" i="7" l="1"/>
  <c r="I102" i="7"/>
  <c r="D103" i="7"/>
  <c r="X103" i="7"/>
  <c r="Y103" i="7"/>
  <c r="L103" i="7"/>
  <c r="Q102" i="7"/>
  <c r="G102" i="7"/>
  <c r="P103" i="7"/>
  <c r="N103" i="7"/>
  <c r="K102" i="7"/>
  <c r="S103" i="7"/>
  <c r="H103" i="7"/>
  <c r="F103" i="7"/>
  <c r="Z102" i="7"/>
  <c r="U103" i="7"/>
  <c r="R102" i="7"/>
  <c r="W103" i="7"/>
  <c r="E103" i="7"/>
  <c r="J102" i="7"/>
  <c r="M102" i="7"/>
  <c r="O103" i="7"/>
  <c r="T103" i="7"/>
  <c r="Y64" i="7"/>
  <c r="Y260" i="7"/>
  <c r="J66" i="7"/>
  <c r="J262" i="7"/>
  <c r="F261" i="7"/>
  <c r="F65" i="7"/>
  <c r="T263" i="7"/>
  <c r="T67" i="7"/>
  <c r="X257" i="7"/>
  <c r="X61" i="7"/>
  <c r="Q64" i="7"/>
  <c r="Q260" i="7"/>
  <c r="U69" i="7"/>
  <c r="U265" i="7"/>
  <c r="H67" i="7"/>
  <c r="H263" i="7"/>
  <c r="R67" i="7"/>
  <c r="R263" i="7"/>
  <c r="F257" i="7"/>
  <c r="F61" i="7"/>
  <c r="S264" i="7"/>
  <c r="S68" i="7"/>
  <c r="G61" i="7"/>
  <c r="G257" i="7"/>
  <c r="Y49" i="7"/>
  <c r="Y245" i="7"/>
  <c r="U71" i="7"/>
  <c r="U267" i="7"/>
  <c r="O66" i="7"/>
  <c r="O262" i="7"/>
  <c r="H70" i="7"/>
  <c r="H266" i="7"/>
  <c r="R265" i="7"/>
  <c r="R69" i="7"/>
  <c r="Z66" i="7"/>
  <c r="Z262" i="7"/>
  <c r="M262" i="7"/>
  <c r="M66" i="7"/>
  <c r="F64" i="7"/>
  <c r="F260" i="7"/>
  <c r="S64" i="7"/>
  <c r="S260" i="7"/>
  <c r="D64" i="7"/>
  <c r="D260" i="7"/>
  <c r="E68" i="7"/>
  <c r="E264" i="7"/>
  <c r="V67" i="7"/>
  <c r="V263" i="7"/>
  <c r="W61" i="7"/>
  <c r="W257" i="7"/>
  <c r="I267" i="7"/>
  <c r="I71" i="7"/>
  <c r="Q65" i="7"/>
  <c r="Q261" i="7"/>
  <c r="Q264" i="7"/>
  <c r="Q68" i="7"/>
  <c r="Y257" i="7"/>
  <c r="Y61" i="7"/>
  <c r="U68" i="7"/>
  <c r="U264" i="7"/>
  <c r="N49" i="7"/>
  <c r="N245" i="7"/>
  <c r="N67" i="7"/>
  <c r="N263" i="7"/>
  <c r="O68" i="7"/>
  <c r="O264" i="7"/>
  <c r="H267" i="7"/>
  <c r="H71" i="7"/>
  <c r="H49" i="7"/>
  <c r="H245" i="7"/>
  <c r="J64" i="7"/>
  <c r="J260" i="7"/>
  <c r="R71" i="7"/>
  <c r="R267" i="7"/>
  <c r="Z65" i="7"/>
  <c r="Z261" i="7"/>
  <c r="Z68" i="7"/>
  <c r="Z264" i="7"/>
  <c r="L263" i="7"/>
  <c r="L67" i="7"/>
  <c r="M68" i="7"/>
  <c r="M264" i="7"/>
  <c r="F68" i="7"/>
  <c r="F264" i="7"/>
  <c r="F262" i="7"/>
  <c r="F66" i="7"/>
  <c r="K65" i="7"/>
  <c r="K261" i="7"/>
  <c r="D66" i="7"/>
  <c r="D262" i="7"/>
  <c r="D70" i="7"/>
  <c r="D266" i="7"/>
  <c r="T261" i="7"/>
  <c r="T65" i="7"/>
  <c r="E69" i="7"/>
  <c r="E265" i="7"/>
  <c r="V64" i="7"/>
  <c r="V260" i="7"/>
  <c r="V69" i="7"/>
  <c r="V265" i="7"/>
  <c r="G66" i="7"/>
  <c r="G262" i="7"/>
  <c r="W260" i="7"/>
  <c r="W64" i="7"/>
  <c r="X65" i="7"/>
  <c r="X261" i="7"/>
  <c r="X267" i="7"/>
  <c r="X71" i="7"/>
  <c r="P66" i="7"/>
  <c r="P262" i="7"/>
  <c r="Q67" i="7"/>
  <c r="Q263" i="7"/>
  <c r="M70" i="7"/>
  <c r="M266" i="7"/>
  <c r="D263" i="7"/>
  <c r="D67" i="7"/>
  <c r="X49" i="7"/>
  <c r="X245" i="7"/>
  <c r="Q69" i="7"/>
  <c r="Q265" i="7"/>
  <c r="N64" i="7"/>
  <c r="N260" i="7"/>
  <c r="H65" i="7"/>
  <c r="H261" i="7"/>
  <c r="Z265" i="7"/>
  <c r="Z69" i="7"/>
  <c r="M245" i="7"/>
  <c r="M49" i="7"/>
  <c r="K265" i="7"/>
  <c r="K69" i="7"/>
  <c r="S67" i="7"/>
  <c r="S263" i="7"/>
  <c r="E65" i="7"/>
  <c r="E261" i="7"/>
  <c r="V68" i="7"/>
  <c r="V264" i="7"/>
  <c r="G261" i="7"/>
  <c r="G65" i="7"/>
  <c r="G70" i="7"/>
  <c r="G266" i="7"/>
  <c r="W68" i="7"/>
  <c r="W264" i="7"/>
  <c r="X260" i="7"/>
  <c r="X64" i="7"/>
  <c r="P65" i="7"/>
  <c r="P261" i="7"/>
  <c r="P70" i="7"/>
  <c r="P266" i="7"/>
  <c r="E262" i="7"/>
  <c r="E66" i="7"/>
  <c r="U245" i="7"/>
  <c r="U49" i="7"/>
  <c r="R61" i="7"/>
  <c r="R257" i="7"/>
  <c r="I64" i="7"/>
  <c r="I260" i="7"/>
  <c r="Q267" i="7"/>
  <c r="Q71" i="7"/>
  <c r="Y65" i="7"/>
  <c r="Y261" i="7"/>
  <c r="Y68" i="7"/>
  <c r="Y264" i="7"/>
  <c r="N262" i="7"/>
  <c r="N66" i="7"/>
  <c r="O261" i="7"/>
  <c r="O65" i="7"/>
  <c r="O71" i="7"/>
  <c r="O267" i="7"/>
  <c r="H257" i="7"/>
  <c r="H61" i="7"/>
  <c r="J263" i="7"/>
  <c r="J67" i="7"/>
  <c r="J266" i="7"/>
  <c r="J70" i="7"/>
  <c r="R64" i="7"/>
  <c r="R260" i="7"/>
  <c r="Z71" i="7"/>
  <c r="Z267" i="7"/>
  <c r="L61" i="7"/>
  <c r="L257" i="7"/>
  <c r="L64" i="7"/>
  <c r="L260" i="7"/>
  <c r="F67" i="7"/>
  <c r="F263" i="7"/>
  <c r="K70" i="7"/>
  <c r="K266" i="7"/>
  <c r="K71" i="7"/>
  <c r="K267" i="7"/>
  <c r="S265" i="7"/>
  <c r="S69" i="7"/>
  <c r="D264" i="7"/>
  <c r="D68" i="7"/>
  <c r="T66" i="7"/>
  <c r="T262" i="7"/>
  <c r="T71" i="7"/>
  <c r="T267" i="7"/>
  <c r="E70" i="7"/>
  <c r="E266" i="7"/>
  <c r="V70" i="7"/>
  <c r="V266" i="7"/>
  <c r="G67" i="7"/>
  <c r="G263" i="7"/>
  <c r="W70" i="7"/>
  <c r="W266" i="7"/>
  <c r="X66" i="7"/>
  <c r="X262" i="7"/>
  <c r="P49" i="7"/>
  <c r="P245" i="7"/>
  <c r="N257" i="7"/>
  <c r="N61" i="7"/>
  <c r="R49" i="7"/>
  <c r="R245" i="7"/>
  <c r="F69" i="7"/>
  <c r="F265" i="7"/>
  <c r="V262" i="7"/>
  <c r="V66" i="7"/>
  <c r="P68" i="7"/>
  <c r="P264" i="7"/>
  <c r="N71" i="7"/>
  <c r="N267" i="7"/>
  <c r="J65" i="7"/>
  <c r="J261" i="7"/>
  <c r="L245" i="7"/>
  <c r="L49" i="7"/>
  <c r="F70" i="7"/>
  <c r="F266" i="7"/>
  <c r="T245" i="7"/>
  <c r="T49" i="7"/>
  <c r="Q49" i="7"/>
  <c r="Q245" i="7"/>
  <c r="Y266" i="7"/>
  <c r="Y70" i="7"/>
  <c r="N68" i="7"/>
  <c r="N264" i="7"/>
  <c r="O69" i="7"/>
  <c r="O265" i="7"/>
  <c r="J265" i="7"/>
  <c r="J69" i="7"/>
  <c r="R66" i="7"/>
  <c r="R262" i="7"/>
  <c r="L264" i="7"/>
  <c r="L68" i="7"/>
  <c r="M65" i="7"/>
  <c r="M261" i="7"/>
  <c r="K264" i="7"/>
  <c r="K68" i="7"/>
  <c r="S71" i="7"/>
  <c r="S267" i="7"/>
  <c r="T64" i="7"/>
  <c r="T260" i="7"/>
  <c r="V49" i="7"/>
  <c r="V245" i="7"/>
  <c r="W71" i="7"/>
  <c r="W267" i="7"/>
  <c r="P67" i="7"/>
  <c r="P263" i="7"/>
  <c r="P267" i="7"/>
  <c r="P71" i="7"/>
  <c r="I49" i="7"/>
  <c r="I245" i="7"/>
  <c r="N69" i="7"/>
  <c r="N265" i="7"/>
  <c r="Z266" i="7"/>
  <c r="Z70" i="7"/>
  <c r="S65" i="7"/>
  <c r="S261" i="7"/>
  <c r="G68" i="7"/>
  <c r="G264" i="7"/>
  <c r="I257" i="7"/>
  <c r="I61" i="7"/>
  <c r="Y66" i="7"/>
  <c r="Y262" i="7"/>
  <c r="J68" i="7"/>
  <c r="J264" i="7"/>
  <c r="L71" i="7"/>
  <c r="L267" i="7"/>
  <c r="K61" i="7"/>
  <c r="K257" i="7"/>
  <c r="T69" i="7"/>
  <c r="T265" i="7"/>
  <c r="I66" i="7"/>
  <c r="I262" i="7"/>
  <c r="Y67" i="7"/>
  <c r="Y263" i="7"/>
  <c r="U65" i="7"/>
  <c r="U261" i="7"/>
  <c r="O67" i="7"/>
  <c r="O263" i="7"/>
  <c r="H260" i="7"/>
  <c r="H64" i="7"/>
  <c r="Z49" i="7"/>
  <c r="Z245" i="7"/>
  <c r="L66" i="7"/>
  <c r="L262" i="7"/>
  <c r="F71" i="7"/>
  <c r="F267" i="7"/>
  <c r="K64" i="7"/>
  <c r="K260" i="7"/>
  <c r="D61" i="7"/>
  <c r="D257" i="7"/>
  <c r="T264" i="7"/>
  <c r="T68" i="7"/>
  <c r="E263" i="7"/>
  <c r="E67" i="7"/>
  <c r="G71" i="7"/>
  <c r="G267" i="7"/>
  <c r="X68" i="7"/>
  <c r="X264" i="7"/>
  <c r="I65" i="7"/>
  <c r="I261" i="7"/>
  <c r="I264" i="7"/>
  <c r="I68" i="7"/>
  <c r="Q257" i="7"/>
  <c r="Q61" i="7"/>
  <c r="Y69" i="7"/>
  <c r="Y265" i="7"/>
  <c r="U61" i="7"/>
  <c r="U257" i="7"/>
  <c r="U263" i="7"/>
  <c r="U67" i="7"/>
  <c r="N70" i="7"/>
  <c r="N266" i="7"/>
  <c r="O61" i="7"/>
  <c r="O257" i="7"/>
  <c r="O49" i="7"/>
  <c r="O245" i="7"/>
  <c r="H66" i="7"/>
  <c r="H262" i="7"/>
  <c r="J71" i="7"/>
  <c r="J267" i="7"/>
  <c r="R65" i="7"/>
  <c r="R261" i="7"/>
  <c r="R68" i="7"/>
  <c r="R264" i="7"/>
  <c r="Z61" i="7"/>
  <c r="Z257" i="7"/>
  <c r="L70" i="7"/>
  <c r="L266" i="7"/>
  <c r="M61" i="7"/>
  <c r="M257" i="7"/>
  <c r="M263" i="7"/>
  <c r="M67" i="7"/>
  <c r="K49" i="7"/>
  <c r="K245" i="7"/>
  <c r="S49" i="7"/>
  <c r="S245" i="7"/>
  <c r="S262" i="7"/>
  <c r="S66" i="7"/>
  <c r="D69" i="7"/>
  <c r="D265" i="7"/>
  <c r="T70" i="7"/>
  <c r="T266" i="7"/>
  <c r="E71" i="7"/>
  <c r="E267" i="7"/>
  <c r="E61" i="7"/>
  <c r="E257" i="7"/>
  <c r="G69" i="7"/>
  <c r="G265" i="7"/>
  <c r="W67" i="7"/>
  <c r="W263" i="7"/>
  <c r="W261" i="7"/>
  <c r="W65" i="7"/>
  <c r="X70" i="7"/>
  <c r="X266" i="7"/>
  <c r="P265" i="7"/>
  <c r="P69" i="7"/>
  <c r="Q266" i="7"/>
  <c r="Q70" i="7"/>
  <c r="O70" i="7"/>
  <c r="O266" i="7"/>
  <c r="L69" i="7"/>
  <c r="L265" i="7"/>
  <c r="D71" i="7"/>
  <c r="D267" i="7"/>
  <c r="W66" i="7"/>
  <c r="W262" i="7"/>
  <c r="I266" i="7"/>
  <c r="I70" i="7"/>
  <c r="U260" i="7"/>
  <c r="U64" i="7"/>
  <c r="O260" i="7"/>
  <c r="O64" i="7"/>
  <c r="J49" i="7"/>
  <c r="J245" i="7"/>
  <c r="Z64" i="7"/>
  <c r="Z260" i="7"/>
  <c r="M69" i="7"/>
  <c r="M265" i="7"/>
  <c r="S61" i="7"/>
  <c r="S257" i="7"/>
  <c r="T61" i="7"/>
  <c r="T257" i="7"/>
  <c r="E64" i="7"/>
  <c r="E260" i="7"/>
  <c r="W69" i="7"/>
  <c r="W265" i="7"/>
  <c r="W49" i="7"/>
  <c r="W245" i="7"/>
  <c r="X67" i="7"/>
  <c r="X263" i="7"/>
  <c r="P257" i="7"/>
  <c r="P61" i="7"/>
  <c r="U70" i="7"/>
  <c r="U266" i="7"/>
  <c r="Z263" i="7"/>
  <c r="Z67" i="7"/>
  <c r="K67" i="7"/>
  <c r="K263" i="7"/>
  <c r="V71" i="7"/>
  <c r="V267" i="7"/>
  <c r="I67" i="7"/>
  <c r="I263" i="7"/>
  <c r="Y267" i="7"/>
  <c r="Y71" i="7"/>
  <c r="H68" i="7"/>
  <c r="H264" i="7"/>
  <c r="R266" i="7"/>
  <c r="R70" i="7"/>
  <c r="M260" i="7"/>
  <c r="M64" i="7"/>
  <c r="K66" i="7"/>
  <c r="K262" i="7"/>
  <c r="D65" i="7"/>
  <c r="D261" i="7"/>
  <c r="V261" i="7"/>
  <c r="V65" i="7"/>
  <c r="I69" i="7"/>
  <c r="I265" i="7"/>
  <c r="Q66" i="7"/>
  <c r="Q262" i="7"/>
  <c r="U262" i="7"/>
  <c r="U66" i="7"/>
  <c r="N261" i="7"/>
  <c r="N65" i="7"/>
  <c r="H69" i="7"/>
  <c r="H265" i="7"/>
  <c r="J61" i="7"/>
  <c r="J257" i="7"/>
  <c r="L261" i="7"/>
  <c r="L65" i="7"/>
  <c r="M71" i="7"/>
  <c r="M267" i="7"/>
  <c r="S70" i="7"/>
  <c r="S266" i="7"/>
  <c r="V257" i="7"/>
  <c r="V61" i="7"/>
  <c r="G260" i="7"/>
  <c r="G64" i="7"/>
  <c r="X69" i="7"/>
  <c r="X265" i="7"/>
  <c r="P260" i="7"/>
  <c r="P64" i="7"/>
  <c r="N258" i="7"/>
  <c r="N62" i="7"/>
  <c r="Q258" i="7"/>
  <c r="Q62" i="7"/>
  <c r="Z258" i="7"/>
  <c r="Z62" i="7"/>
  <c r="K258" i="7"/>
  <c r="K62" i="7"/>
  <c r="T258" i="7"/>
  <c r="T62" i="7"/>
  <c r="X258" i="7"/>
  <c r="X62" i="7"/>
  <c r="L258" i="7"/>
  <c r="L62" i="7"/>
  <c r="E62" i="7"/>
  <c r="AA258" i="7"/>
  <c r="AA62" i="7"/>
  <c r="S258" i="7"/>
  <c r="S62" i="7"/>
  <c r="H62" i="7"/>
  <c r="Y258" i="7"/>
  <c r="Y62" i="7"/>
  <c r="O258" i="7"/>
  <c r="O62" i="7"/>
  <c r="D62" i="7"/>
  <c r="U258" i="7"/>
  <c r="U62" i="7"/>
  <c r="M258" i="7"/>
  <c r="M62" i="7"/>
  <c r="G62" i="7"/>
  <c r="P258" i="7"/>
  <c r="P62" i="7"/>
  <c r="J258" i="7"/>
  <c r="J62" i="7"/>
  <c r="C62" i="7"/>
  <c r="I258" i="7"/>
  <c r="I62" i="7"/>
  <c r="R258" i="7"/>
  <c r="R62" i="7"/>
  <c r="W258" i="7"/>
  <c r="W62" i="7"/>
  <c r="F62" i="7"/>
  <c r="V258" i="7"/>
  <c r="V62" i="7"/>
  <c r="O259" i="7"/>
  <c r="O63" i="7"/>
  <c r="I259" i="7"/>
  <c r="I63" i="7"/>
  <c r="C63" i="7"/>
  <c r="Y259" i="7"/>
  <c r="Y63" i="7"/>
  <c r="W259" i="7"/>
  <c r="W63" i="7"/>
  <c r="F63" i="7"/>
  <c r="R259" i="7"/>
  <c r="R63" i="7"/>
  <c r="Q259" i="7"/>
  <c r="Q63" i="7"/>
  <c r="E63" i="7"/>
  <c r="U259" i="7"/>
  <c r="U63" i="7"/>
  <c r="Z259" i="7"/>
  <c r="Z63" i="7"/>
  <c r="AA259" i="7"/>
  <c r="AA63" i="7"/>
  <c r="T259" i="7"/>
  <c r="T63" i="7"/>
  <c r="D63" i="7"/>
  <c r="N259" i="7"/>
  <c r="N63" i="7"/>
  <c r="M259" i="7"/>
  <c r="M63" i="7"/>
  <c r="K259" i="7"/>
  <c r="K63" i="7"/>
  <c r="V259" i="7"/>
  <c r="V63" i="7"/>
  <c r="H259" i="7"/>
  <c r="H63" i="7"/>
  <c r="S259" i="7"/>
  <c r="S63" i="7"/>
  <c r="J259" i="7"/>
  <c r="J63" i="7"/>
  <c r="P259" i="7"/>
  <c r="P63" i="7"/>
  <c r="L259" i="7"/>
  <c r="L63" i="7"/>
  <c r="G63" i="7"/>
  <c r="X259" i="7"/>
  <c r="X63" i="7"/>
  <c r="C252" i="7"/>
  <c r="C56" i="7"/>
  <c r="Q54" i="7"/>
  <c r="F55" i="7"/>
  <c r="G53" i="7"/>
  <c r="D250" i="7"/>
  <c r="D54" i="7"/>
  <c r="P54" i="7"/>
  <c r="F54" i="7"/>
  <c r="G52" i="7"/>
  <c r="C250" i="7"/>
  <c r="C54" i="7"/>
  <c r="Q52" i="7"/>
  <c r="F53" i="7"/>
  <c r="E248" i="7"/>
  <c r="E52" i="7"/>
  <c r="D252" i="7"/>
  <c r="D56" i="7"/>
  <c r="E249" i="7"/>
  <c r="E53" i="7"/>
  <c r="D248" i="7"/>
  <c r="D52" i="7"/>
  <c r="P55" i="7"/>
  <c r="Q56" i="7"/>
  <c r="F52" i="7"/>
  <c r="C249" i="7"/>
  <c r="C53" i="7"/>
  <c r="P53" i="7"/>
  <c r="E250" i="7"/>
  <c r="E54" i="7"/>
  <c r="Q53" i="7"/>
  <c r="E251" i="7"/>
  <c r="E55" i="7"/>
  <c r="D251" i="7"/>
  <c r="D55" i="7"/>
  <c r="G54" i="7"/>
  <c r="C248" i="7"/>
  <c r="C52" i="7"/>
  <c r="C251" i="7"/>
  <c r="C55" i="7"/>
  <c r="P56" i="7"/>
  <c r="F56" i="7"/>
  <c r="G56" i="7"/>
  <c r="E252" i="7"/>
  <c r="E56" i="7"/>
  <c r="D249" i="7"/>
  <c r="D53" i="7"/>
  <c r="G55" i="7"/>
  <c r="Q55" i="7"/>
  <c r="P52" i="7"/>
  <c r="Z167" i="7"/>
  <c r="Z206" i="7"/>
  <c r="K206" i="7"/>
  <c r="K167" i="7"/>
  <c r="J167" i="7"/>
  <c r="J206" i="7"/>
  <c r="W167" i="7"/>
  <c r="W206" i="7"/>
  <c r="O167" i="7"/>
  <c r="O206" i="7"/>
  <c r="Y167" i="7"/>
  <c r="Y206" i="7"/>
  <c r="I167" i="7"/>
  <c r="I206" i="7"/>
  <c r="X167" i="7"/>
  <c r="X206" i="7"/>
  <c r="N167" i="7"/>
  <c r="N206" i="7"/>
  <c r="H167" i="7"/>
  <c r="H206" i="7"/>
  <c r="U167" i="7"/>
  <c r="U206" i="7"/>
  <c r="L206" i="7"/>
  <c r="L167" i="7"/>
  <c r="M167" i="7"/>
  <c r="M206" i="7"/>
  <c r="T206" i="7"/>
  <c r="T167" i="7"/>
  <c r="R167" i="7"/>
  <c r="R206" i="7"/>
  <c r="P167" i="7"/>
  <c r="P206" i="7"/>
  <c r="Q167" i="7"/>
  <c r="Q206" i="7"/>
  <c r="V167" i="7"/>
  <c r="V206" i="7"/>
  <c r="S206" i="7"/>
  <c r="S167" i="7"/>
  <c r="U225" i="7"/>
  <c r="U108" i="7"/>
  <c r="U186" i="7"/>
  <c r="U147" i="7"/>
  <c r="Q221" i="7"/>
  <c r="Q182" i="7"/>
  <c r="Q104" i="7"/>
  <c r="Q143" i="7"/>
  <c r="U221" i="7"/>
  <c r="U182" i="7"/>
  <c r="U143" i="7"/>
  <c r="U104" i="7"/>
  <c r="O182" i="7"/>
  <c r="O221" i="7"/>
  <c r="O104" i="7"/>
  <c r="O143" i="7"/>
  <c r="I226" i="7"/>
  <c r="I148" i="7"/>
  <c r="I187" i="7"/>
  <c r="I109" i="7"/>
  <c r="Q219" i="7"/>
  <c r="Q180" i="7"/>
  <c r="Q141" i="7"/>
  <c r="Q223" i="7"/>
  <c r="Q145" i="7"/>
  <c r="Q184" i="7"/>
  <c r="Q106" i="7"/>
  <c r="Y89" i="7"/>
  <c r="U223" i="7"/>
  <c r="U184" i="7"/>
  <c r="U145" i="7"/>
  <c r="U106" i="7"/>
  <c r="U228" i="7"/>
  <c r="U189" i="7"/>
  <c r="U111" i="7"/>
  <c r="U150" i="7"/>
  <c r="N183" i="7"/>
  <c r="N222" i="7"/>
  <c r="N105" i="7"/>
  <c r="N144" i="7"/>
  <c r="O223" i="7"/>
  <c r="O184" i="7"/>
  <c r="O106" i="7"/>
  <c r="O145" i="7"/>
  <c r="H187" i="7"/>
  <c r="H226" i="7"/>
  <c r="H109" i="7"/>
  <c r="H148" i="7"/>
  <c r="H227" i="7"/>
  <c r="H149" i="7"/>
  <c r="H188" i="7"/>
  <c r="H110" i="7"/>
  <c r="J218" i="7"/>
  <c r="J140" i="7"/>
  <c r="J101" i="7"/>
  <c r="J179" i="7"/>
  <c r="R226" i="7"/>
  <c r="R187" i="7"/>
  <c r="R148" i="7"/>
  <c r="R109" i="7"/>
  <c r="Z180" i="7"/>
  <c r="Z219" i="7"/>
  <c r="Z141" i="7"/>
  <c r="Z223" i="7"/>
  <c r="Z184" i="7"/>
  <c r="Z145" i="7"/>
  <c r="Z106" i="7"/>
  <c r="L222" i="7"/>
  <c r="L183" i="7"/>
  <c r="L144" i="7"/>
  <c r="L105" i="7"/>
  <c r="M184" i="7"/>
  <c r="M223" i="7"/>
  <c r="M145" i="7"/>
  <c r="M106" i="7"/>
  <c r="M228" i="7"/>
  <c r="M111" i="7"/>
  <c r="M189" i="7"/>
  <c r="M150" i="7"/>
  <c r="F221" i="7"/>
  <c r="F143" i="7"/>
  <c r="F104" i="7"/>
  <c r="K180" i="7"/>
  <c r="K219" i="7"/>
  <c r="K141" i="7"/>
  <c r="S221" i="7"/>
  <c r="S182" i="7"/>
  <c r="S143" i="7"/>
  <c r="S104" i="7"/>
  <c r="S227" i="7"/>
  <c r="S149" i="7"/>
  <c r="S110" i="7"/>
  <c r="S188" i="7"/>
  <c r="D221" i="7"/>
  <c r="D104" i="7"/>
  <c r="D143" i="7"/>
  <c r="T219" i="7"/>
  <c r="T180" i="7"/>
  <c r="T141" i="7"/>
  <c r="E225" i="7"/>
  <c r="E147" i="7"/>
  <c r="E108" i="7"/>
  <c r="E186" i="7"/>
  <c r="V218" i="7"/>
  <c r="V179" i="7"/>
  <c r="V140" i="7"/>
  <c r="V101" i="7"/>
  <c r="V224" i="7"/>
  <c r="V107" i="7"/>
  <c r="V185" i="7"/>
  <c r="V146" i="7"/>
  <c r="G221" i="7"/>
  <c r="G104" i="7"/>
  <c r="G143" i="7"/>
  <c r="W218" i="7"/>
  <c r="W179" i="7"/>
  <c r="W140" i="7"/>
  <c r="W101" i="7"/>
  <c r="X180" i="7"/>
  <c r="X219" i="7"/>
  <c r="X141" i="7"/>
  <c r="X187" i="7"/>
  <c r="X226" i="7"/>
  <c r="X148" i="7"/>
  <c r="X109" i="7"/>
  <c r="P221" i="7"/>
  <c r="P104" i="7"/>
  <c r="P143" i="7"/>
  <c r="P182" i="7"/>
  <c r="Y179" i="7"/>
  <c r="Y218" i="7"/>
  <c r="Y101" i="7"/>
  <c r="Y140" i="7"/>
  <c r="J182" i="7"/>
  <c r="J221" i="7"/>
  <c r="J143" i="7"/>
  <c r="J104" i="7"/>
  <c r="Z225" i="7"/>
  <c r="Z147" i="7"/>
  <c r="Z186" i="7"/>
  <c r="Z108" i="7"/>
  <c r="F186" i="7"/>
  <c r="F147" i="7"/>
  <c r="F108" i="7"/>
  <c r="F225" i="7"/>
  <c r="D223" i="7"/>
  <c r="D184" i="7"/>
  <c r="D145" i="7"/>
  <c r="D106" i="7"/>
  <c r="E226" i="7"/>
  <c r="E187" i="7"/>
  <c r="E109" i="7"/>
  <c r="E148" i="7"/>
  <c r="G223" i="7"/>
  <c r="G106" i="7"/>
  <c r="G184" i="7"/>
  <c r="G145" i="7"/>
  <c r="X228" i="7"/>
  <c r="X189" i="7"/>
  <c r="X150" i="7"/>
  <c r="X111" i="7"/>
  <c r="P184" i="7"/>
  <c r="P223" i="7"/>
  <c r="P106" i="7"/>
  <c r="P145" i="7"/>
  <c r="I89" i="7"/>
  <c r="Q224" i="7"/>
  <c r="Q185" i="7"/>
  <c r="Q146" i="7"/>
  <c r="Q107" i="7"/>
  <c r="Q227" i="7"/>
  <c r="Q188" i="7"/>
  <c r="Q149" i="7"/>
  <c r="Q110" i="7"/>
  <c r="Y221" i="7"/>
  <c r="Y182" i="7"/>
  <c r="Y104" i="7"/>
  <c r="Y143" i="7"/>
  <c r="U227" i="7"/>
  <c r="U149" i="7"/>
  <c r="U188" i="7"/>
  <c r="U110" i="7"/>
  <c r="N218" i="7"/>
  <c r="N179" i="7"/>
  <c r="N140" i="7"/>
  <c r="N101" i="7"/>
  <c r="N148" i="7"/>
  <c r="N226" i="7"/>
  <c r="N187" i="7"/>
  <c r="N109" i="7"/>
  <c r="O227" i="7"/>
  <c r="O188" i="7"/>
  <c r="O110" i="7"/>
  <c r="O149" i="7"/>
  <c r="H180" i="7"/>
  <c r="H219" i="7"/>
  <c r="H141" i="7"/>
  <c r="J180" i="7"/>
  <c r="J219" i="7"/>
  <c r="J141" i="7"/>
  <c r="J223" i="7"/>
  <c r="J145" i="7"/>
  <c r="J106" i="7"/>
  <c r="J184" i="7"/>
  <c r="R89" i="7"/>
  <c r="Z224" i="7"/>
  <c r="Z185" i="7"/>
  <c r="Z107" i="7"/>
  <c r="Z146" i="7"/>
  <c r="Z227" i="7"/>
  <c r="Z188" i="7"/>
  <c r="Z110" i="7"/>
  <c r="Z149" i="7"/>
  <c r="L226" i="7"/>
  <c r="L148" i="7"/>
  <c r="L109" i="7"/>
  <c r="L187" i="7"/>
  <c r="M149" i="7"/>
  <c r="M188" i="7"/>
  <c r="M227" i="7"/>
  <c r="M110" i="7"/>
  <c r="F183" i="7"/>
  <c r="F222" i="7"/>
  <c r="F144" i="7"/>
  <c r="F105" i="7"/>
  <c r="F226" i="7"/>
  <c r="F148" i="7"/>
  <c r="F187" i="7"/>
  <c r="F109" i="7"/>
  <c r="K224" i="7"/>
  <c r="K146" i="7"/>
  <c r="K107" i="7"/>
  <c r="K185" i="7"/>
  <c r="S222" i="7"/>
  <c r="S183" i="7"/>
  <c r="S105" i="7"/>
  <c r="S144" i="7"/>
  <c r="D150" i="7"/>
  <c r="D228" i="7"/>
  <c r="D189" i="7"/>
  <c r="D111" i="7"/>
  <c r="D224" i="7"/>
  <c r="D185" i="7"/>
  <c r="D107" i="7"/>
  <c r="D146" i="7"/>
  <c r="T224" i="7"/>
  <c r="T185" i="7"/>
  <c r="T146" i="7"/>
  <c r="T107" i="7"/>
  <c r="E184" i="7"/>
  <c r="E223" i="7"/>
  <c r="E145" i="7"/>
  <c r="E106" i="7"/>
  <c r="V223" i="7"/>
  <c r="V184" i="7"/>
  <c r="V145" i="7"/>
  <c r="V106" i="7"/>
  <c r="V189" i="7"/>
  <c r="V111" i="7"/>
  <c r="V228" i="7"/>
  <c r="V150" i="7"/>
  <c r="G225" i="7"/>
  <c r="G147" i="7"/>
  <c r="G186" i="7"/>
  <c r="G108" i="7"/>
  <c r="W223" i="7"/>
  <c r="W145" i="7"/>
  <c r="W106" i="7"/>
  <c r="W184" i="7"/>
  <c r="X218" i="7"/>
  <c r="X140" i="7"/>
  <c r="X101" i="7"/>
  <c r="X179" i="7"/>
  <c r="X89" i="7"/>
  <c r="P225" i="7"/>
  <c r="P147" i="7"/>
  <c r="P186" i="7"/>
  <c r="P108" i="7"/>
  <c r="C219" i="7"/>
  <c r="C141" i="7"/>
  <c r="I228" i="7"/>
  <c r="I189" i="7"/>
  <c r="I111" i="7"/>
  <c r="I150" i="7"/>
  <c r="O225" i="7"/>
  <c r="O147" i="7"/>
  <c r="O186" i="7"/>
  <c r="O108" i="7"/>
  <c r="Z222" i="7"/>
  <c r="Z183" i="7"/>
  <c r="Z144" i="7"/>
  <c r="Z105" i="7"/>
  <c r="F223" i="7"/>
  <c r="F184" i="7"/>
  <c r="F106" i="7"/>
  <c r="F145" i="7"/>
  <c r="D227" i="7"/>
  <c r="D188" i="7"/>
  <c r="D110" i="7"/>
  <c r="D149" i="7"/>
  <c r="V148" i="7"/>
  <c r="V187" i="7"/>
  <c r="V109" i="7"/>
  <c r="V226" i="7"/>
  <c r="I179" i="7"/>
  <c r="I218" i="7"/>
  <c r="I101" i="7"/>
  <c r="I140" i="7"/>
  <c r="Q226" i="7"/>
  <c r="Q148" i="7"/>
  <c r="Q187" i="7"/>
  <c r="Q109" i="7"/>
  <c r="Y219" i="7"/>
  <c r="Y180" i="7"/>
  <c r="Y141" i="7"/>
  <c r="Y223" i="7"/>
  <c r="Y145" i="7"/>
  <c r="Y184" i="7"/>
  <c r="Y106" i="7"/>
  <c r="U89" i="7"/>
  <c r="N221" i="7"/>
  <c r="N182" i="7"/>
  <c r="N143" i="7"/>
  <c r="N104" i="7"/>
  <c r="N189" i="7"/>
  <c r="N150" i="7"/>
  <c r="N111" i="7"/>
  <c r="N228" i="7"/>
  <c r="O219" i="7"/>
  <c r="O141" i="7"/>
  <c r="O180" i="7"/>
  <c r="H222" i="7"/>
  <c r="H183" i="7"/>
  <c r="H105" i="7"/>
  <c r="H144" i="7"/>
  <c r="J222" i="7"/>
  <c r="J183" i="7"/>
  <c r="J144" i="7"/>
  <c r="J105" i="7"/>
  <c r="J225" i="7"/>
  <c r="J147" i="7"/>
  <c r="J186" i="7"/>
  <c r="J108" i="7"/>
  <c r="R218" i="7"/>
  <c r="R101" i="7"/>
  <c r="R179" i="7"/>
  <c r="R140" i="7"/>
  <c r="Z226" i="7"/>
  <c r="Z187" i="7"/>
  <c r="Z148" i="7"/>
  <c r="Z109" i="7"/>
  <c r="L89" i="7"/>
  <c r="L228" i="7"/>
  <c r="L150" i="7"/>
  <c r="L189" i="7"/>
  <c r="L111" i="7"/>
  <c r="M89" i="7"/>
  <c r="F227" i="7"/>
  <c r="F188" i="7"/>
  <c r="F110" i="7"/>
  <c r="F149" i="7"/>
  <c r="K179" i="7"/>
  <c r="K218" i="7"/>
  <c r="K140" i="7"/>
  <c r="K101" i="7"/>
  <c r="K226" i="7"/>
  <c r="K187" i="7"/>
  <c r="K148" i="7"/>
  <c r="K109" i="7"/>
  <c r="S224" i="7"/>
  <c r="S146" i="7"/>
  <c r="S185" i="7"/>
  <c r="S107" i="7"/>
  <c r="D219" i="7"/>
  <c r="D141" i="7"/>
  <c r="T89" i="7"/>
  <c r="T226" i="7"/>
  <c r="T109" i="7"/>
  <c r="T187" i="7"/>
  <c r="T148" i="7"/>
  <c r="E222" i="7"/>
  <c r="E183" i="7"/>
  <c r="E144" i="7"/>
  <c r="E105" i="7"/>
  <c r="V186" i="7"/>
  <c r="V108" i="7"/>
  <c r="V225" i="7"/>
  <c r="V147" i="7"/>
  <c r="G222" i="7"/>
  <c r="G183" i="7"/>
  <c r="G105" i="7"/>
  <c r="G144" i="7"/>
  <c r="G188" i="7"/>
  <c r="G227" i="7"/>
  <c r="G149" i="7"/>
  <c r="G110" i="7"/>
  <c r="W225" i="7"/>
  <c r="W147" i="7"/>
  <c r="W186" i="7"/>
  <c r="W108" i="7"/>
  <c r="X221" i="7"/>
  <c r="X182" i="7"/>
  <c r="X104" i="7"/>
  <c r="X143" i="7"/>
  <c r="P222" i="7"/>
  <c r="P183" i="7"/>
  <c r="P105" i="7"/>
  <c r="P144" i="7"/>
  <c r="P227" i="7"/>
  <c r="P149" i="7"/>
  <c r="P188" i="7"/>
  <c r="P110" i="7"/>
  <c r="Q183" i="7"/>
  <c r="Q222" i="7"/>
  <c r="Q105" i="7"/>
  <c r="Q144" i="7"/>
  <c r="H89" i="7"/>
  <c r="L224" i="7"/>
  <c r="L185" i="7"/>
  <c r="L107" i="7"/>
  <c r="L146" i="7"/>
  <c r="K222" i="7"/>
  <c r="K183" i="7"/>
  <c r="K144" i="7"/>
  <c r="K105" i="7"/>
  <c r="T222" i="7"/>
  <c r="T144" i="7"/>
  <c r="T183" i="7"/>
  <c r="T105" i="7"/>
  <c r="X222" i="7"/>
  <c r="X183" i="7"/>
  <c r="X144" i="7"/>
  <c r="X105" i="7"/>
  <c r="Q228" i="7"/>
  <c r="Q189" i="7"/>
  <c r="Q111" i="7"/>
  <c r="Q150" i="7"/>
  <c r="Y225" i="7"/>
  <c r="Y186" i="7"/>
  <c r="Y147" i="7"/>
  <c r="Y108" i="7"/>
  <c r="U219" i="7"/>
  <c r="U180" i="7"/>
  <c r="U141" i="7"/>
  <c r="O222" i="7"/>
  <c r="O183" i="7"/>
  <c r="O105" i="7"/>
  <c r="O144" i="7"/>
  <c r="O228" i="7"/>
  <c r="O150" i="7"/>
  <c r="O189" i="7"/>
  <c r="O111" i="7"/>
  <c r="H218" i="7"/>
  <c r="H179" i="7"/>
  <c r="H140" i="7"/>
  <c r="H101" i="7"/>
  <c r="J224" i="7"/>
  <c r="J185" i="7"/>
  <c r="J146" i="7"/>
  <c r="J107" i="7"/>
  <c r="J227" i="7"/>
  <c r="J188" i="7"/>
  <c r="J110" i="7"/>
  <c r="J149" i="7"/>
  <c r="R182" i="7"/>
  <c r="R104" i="7"/>
  <c r="R143" i="7"/>
  <c r="R221" i="7"/>
  <c r="Z228" i="7"/>
  <c r="Z150" i="7"/>
  <c r="Z111" i="7"/>
  <c r="Z189" i="7"/>
  <c r="L179" i="7"/>
  <c r="L218" i="7"/>
  <c r="L101" i="7"/>
  <c r="L140" i="7"/>
  <c r="L221" i="7"/>
  <c r="L182" i="7"/>
  <c r="L143" i="7"/>
  <c r="L104" i="7"/>
  <c r="M219" i="7"/>
  <c r="M180" i="7"/>
  <c r="M141" i="7"/>
  <c r="F224" i="7"/>
  <c r="F107" i="7"/>
  <c r="F185" i="7"/>
  <c r="F146" i="7"/>
  <c r="K227" i="7"/>
  <c r="K110" i="7"/>
  <c r="K188" i="7"/>
  <c r="K149" i="7"/>
  <c r="K189" i="7"/>
  <c r="K111" i="7"/>
  <c r="K228" i="7"/>
  <c r="K150" i="7"/>
  <c r="S226" i="7"/>
  <c r="S187" i="7"/>
  <c r="S109" i="7"/>
  <c r="S148" i="7"/>
  <c r="D225" i="7"/>
  <c r="D186" i="7"/>
  <c r="D147" i="7"/>
  <c r="D108" i="7"/>
  <c r="T223" i="7"/>
  <c r="T145" i="7"/>
  <c r="T184" i="7"/>
  <c r="T106" i="7"/>
  <c r="T228" i="7"/>
  <c r="T150" i="7"/>
  <c r="T189" i="7"/>
  <c r="T111" i="7"/>
  <c r="E149" i="7"/>
  <c r="E188" i="7"/>
  <c r="E227" i="7"/>
  <c r="E110" i="7"/>
  <c r="V227" i="7"/>
  <c r="V149" i="7"/>
  <c r="V110" i="7"/>
  <c r="V188" i="7"/>
  <c r="G219" i="7"/>
  <c r="G141" i="7"/>
  <c r="G185" i="7"/>
  <c r="G146" i="7"/>
  <c r="G224" i="7"/>
  <c r="G107" i="7"/>
  <c r="W188" i="7"/>
  <c r="W227" i="7"/>
  <c r="W149" i="7"/>
  <c r="W110" i="7"/>
  <c r="X223" i="7"/>
  <c r="X184" i="7"/>
  <c r="X145" i="7"/>
  <c r="X106" i="7"/>
  <c r="P180" i="7"/>
  <c r="P219" i="7"/>
  <c r="P141" i="7"/>
  <c r="P89" i="7"/>
  <c r="Q225" i="7"/>
  <c r="Q186" i="7"/>
  <c r="Q147" i="7"/>
  <c r="Q108" i="7"/>
  <c r="H228" i="7"/>
  <c r="H189" i="7"/>
  <c r="H150" i="7"/>
  <c r="H111" i="7"/>
  <c r="R228" i="7"/>
  <c r="R111" i="7"/>
  <c r="R150" i="7"/>
  <c r="R189" i="7"/>
  <c r="M225" i="7"/>
  <c r="M186" i="7"/>
  <c r="M108" i="7"/>
  <c r="M147" i="7"/>
  <c r="S180" i="7"/>
  <c r="S219" i="7"/>
  <c r="S141" i="7"/>
  <c r="V221" i="7"/>
  <c r="V143" i="7"/>
  <c r="V182" i="7"/>
  <c r="V104" i="7"/>
  <c r="W182" i="7"/>
  <c r="W221" i="7"/>
  <c r="W143" i="7"/>
  <c r="W104" i="7"/>
  <c r="I182" i="7"/>
  <c r="I221" i="7"/>
  <c r="I143" i="7"/>
  <c r="I104" i="7"/>
  <c r="Y183" i="7"/>
  <c r="Y222" i="7"/>
  <c r="Y144" i="7"/>
  <c r="Y105" i="7"/>
  <c r="N223" i="7"/>
  <c r="N106" i="7"/>
  <c r="N145" i="7"/>
  <c r="N184" i="7"/>
  <c r="I219" i="7"/>
  <c r="I180" i="7"/>
  <c r="I141" i="7"/>
  <c r="I223" i="7"/>
  <c r="I184" i="7"/>
  <c r="I145" i="7"/>
  <c r="I106" i="7"/>
  <c r="Q89" i="7"/>
  <c r="Y224" i="7"/>
  <c r="Y185" i="7"/>
  <c r="Y107" i="7"/>
  <c r="Y146" i="7"/>
  <c r="Y227" i="7"/>
  <c r="Y188" i="7"/>
  <c r="Y149" i="7"/>
  <c r="Y110" i="7"/>
  <c r="U222" i="7"/>
  <c r="U183" i="7"/>
  <c r="U144" i="7"/>
  <c r="U105" i="7"/>
  <c r="N225" i="7"/>
  <c r="N186" i="7"/>
  <c r="N147" i="7"/>
  <c r="N108" i="7"/>
  <c r="O224" i="7"/>
  <c r="O185" i="7"/>
  <c r="O107" i="7"/>
  <c r="O146" i="7"/>
  <c r="O226" i="7"/>
  <c r="O187" i="7"/>
  <c r="O148" i="7"/>
  <c r="O109" i="7"/>
  <c r="H221" i="7"/>
  <c r="H104" i="7"/>
  <c r="H182" i="7"/>
  <c r="H143" i="7"/>
  <c r="J226" i="7"/>
  <c r="J187" i="7"/>
  <c r="J148" i="7"/>
  <c r="J109" i="7"/>
  <c r="R180" i="7"/>
  <c r="R219" i="7"/>
  <c r="R141" i="7"/>
  <c r="R223" i="7"/>
  <c r="R184" i="7"/>
  <c r="R106" i="7"/>
  <c r="R145" i="7"/>
  <c r="Z89" i="7"/>
  <c r="L225" i="7"/>
  <c r="L186" i="7"/>
  <c r="L108" i="7"/>
  <c r="L147" i="7"/>
  <c r="L223" i="7"/>
  <c r="L184" i="7"/>
  <c r="L145" i="7"/>
  <c r="L106" i="7"/>
  <c r="M222" i="7"/>
  <c r="M144" i="7"/>
  <c r="M183" i="7"/>
  <c r="M105" i="7"/>
  <c r="F189" i="7"/>
  <c r="F228" i="7"/>
  <c r="F150" i="7"/>
  <c r="F111" i="7"/>
  <c r="K225" i="7"/>
  <c r="K186" i="7"/>
  <c r="K147" i="7"/>
  <c r="K108" i="7"/>
  <c r="K221" i="7"/>
  <c r="K182" i="7"/>
  <c r="K143" i="7"/>
  <c r="K104" i="7"/>
  <c r="S228" i="7"/>
  <c r="S189" i="7"/>
  <c r="S111" i="7"/>
  <c r="S150" i="7"/>
  <c r="D179" i="7"/>
  <c r="D140" i="7"/>
  <c r="D101" i="7"/>
  <c r="D218" i="7"/>
  <c r="T225" i="7"/>
  <c r="T186" i="7"/>
  <c r="T108" i="7"/>
  <c r="T147" i="7"/>
  <c r="T221" i="7"/>
  <c r="T182" i="7"/>
  <c r="T104" i="7"/>
  <c r="T143" i="7"/>
  <c r="E224" i="7"/>
  <c r="E185" i="7"/>
  <c r="E107" i="7"/>
  <c r="E146" i="7"/>
  <c r="V89" i="7"/>
  <c r="G228" i="7"/>
  <c r="G150" i="7"/>
  <c r="G189" i="7"/>
  <c r="G111" i="7"/>
  <c r="W219" i="7"/>
  <c r="W180" i="7"/>
  <c r="W141" i="7"/>
  <c r="W228" i="7"/>
  <c r="W150" i="7"/>
  <c r="W189" i="7"/>
  <c r="W111" i="7"/>
  <c r="X225" i="7"/>
  <c r="X108" i="7"/>
  <c r="X186" i="7"/>
  <c r="X147" i="7"/>
  <c r="P224" i="7"/>
  <c r="P146" i="7"/>
  <c r="P185" i="7"/>
  <c r="P107" i="7"/>
  <c r="P228" i="7"/>
  <c r="P189" i="7"/>
  <c r="P150" i="7"/>
  <c r="P111" i="7"/>
  <c r="N224" i="7"/>
  <c r="N185" i="7"/>
  <c r="N107" i="7"/>
  <c r="N146" i="7"/>
  <c r="I183" i="7"/>
  <c r="I222" i="7"/>
  <c r="I144" i="7"/>
  <c r="I105" i="7"/>
  <c r="I225" i="7"/>
  <c r="I186" i="7"/>
  <c r="I147" i="7"/>
  <c r="I108" i="7"/>
  <c r="Q179" i="7"/>
  <c r="Q218" i="7"/>
  <c r="Q101" i="7"/>
  <c r="Q140" i="7"/>
  <c r="Y226" i="7"/>
  <c r="Y148" i="7"/>
  <c r="Y109" i="7"/>
  <c r="Y187" i="7"/>
  <c r="U218" i="7"/>
  <c r="U179" i="7"/>
  <c r="U140" i="7"/>
  <c r="U101" i="7"/>
  <c r="U224" i="7"/>
  <c r="U185" i="7"/>
  <c r="U107" i="7"/>
  <c r="U146" i="7"/>
  <c r="N227" i="7"/>
  <c r="N188" i="7"/>
  <c r="N110" i="7"/>
  <c r="N149" i="7"/>
  <c r="O218" i="7"/>
  <c r="O179" i="7"/>
  <c r="O140" i="7"/>
  <c r="O101" i="7"/>
  <c r="O89" i="7"/>
  <c r="H184" i="7"/>
  <c r="H223" i="7"/>
  <c r="H106" i="7"/>
  <c r="H145" i="7"/>
  <c r="J228" i="7"/>
  <c r="J111" i="7"/>
  <c r="J189" i="7"/>
  <c r="J150" i="7"/>
  <c r="R222" i="7"/>
  <c r="R183" i="7"/>
  <c r="R144" i="7"/>
  <c r="R105" i="7"/>
  <c r="R225" i="7"/>
  <c r="R147" i="7"/>
  <c r="R186" i="7"/>
  <c r="R108" i="7"/>
  <c r="Z218" i="7"/>
  <c r="Z179" i="7"/>
  <c r="Z140" i="7"/>
  <c r="Z101" i="7"/>
  <c r="L188" i="7"/>
  <c r="L227" i="7"/>
  <c r="L110" i="7"/>
  <c r="L149" i="7"/>
  <c r="M218" i="7"/>
  <c r="M179" i="7"/>
  <c r="M140" i="7"/>
  <c r="M101" i="7"/>
  <c r="M224" i="7"/>
  <c r="M185" i="7"/>
  <c r="M107" i="7"/>
  <c r="M146" i="7"/>
  <c r="F219" i="7"/>
  <c r="F141" i="7"/>
  <c r="K89" i="7"/>
  <c r="S89" i="7"/>
  <c r="S223" i="7"/>
  <c r="S184" i="7"/>
  <c r="S106" i="7"/>
  <c r="S145" i="7"/>
  <c r="D226" i="7"/>
  <c r="D109" i="7"/>
  <c r="D148" i="7"/>
  <c r="D187" i="7"/>
  <c r="T188" i="7"/>
  <c r="T227" i="7"/>
  <c r="T149" i="7"/>
  <c r="T110" i="7"/>
  <c r="E228" i="7"/>
  <c r="E150" i="7"/>
  <c r="E189" i="7"/>
  <c r="E111" i="7"/>
  <c r="E218" i="7"/>
  <c r="E179" i="7"/>
  <c r="E140" i="7"/>
  <c r="E101" i="7"/>
  <c r="V219" i="7"/>
  <c r="V141" i="7"/>
  <c r="V180" i="7"/>
  <c r="G226" i="7"/>
  <c r="G187" i="7"/>
  <c r="G109" i="7"/>
  <c r="G148" i="7"/>
  <c r="W185" i="7"/>
  <c r="W224" i="7"/>
  <c r="W107" i="7"/>
  <c r="W146" i="7"/>
  <c r="W222" i="7"/>
  <c r="W144" i="7"/>
  <c r="W105" i="7"/>
  <c r="W183" i="7"/>
  <c r="X227" i="7"/>
  <c r="X149" i="7"/>
  <c r="X188" i="7"/>
  <c r="X110" i="7"/>
  <c r="P187" i="7"/>
  <c r="P148" i="7"/>
  <c r="P109" i="7"/>
  <c r="P226" i="7"/>
  <c r="N89" i="7"/>
  <c r="I224" i="7"/>
  <c r="I146" i="7"/>
  <c r="I107" i="7"/>
  <c r="I185" i="7"/>
  <c r="I227" i="7"/>
  <c r="I188" i="7"/>
  <c r="I149" i="7"/>
  <c r="I110" i="7"/>
  <c r="Y228" i="7"/>
  <c r="Y189" i="7"/>
  <c r="Y150" i="7"/>
  <c r="Y111" i="7"/>
  <c r="U226" i="7"/>
  <c r="U187" i="7"/>
  <c r="U148" i="7"/>
  <c r="U109" i="7"/>
  <c r="N219" i="7"/>
  <c r="N141" i="7"/>
  <c r="N180" i="7"/>
  <c r="H224" i="7"/>
  <c r="H146" i="7"/>
  <c r="H185" i="7"/>
  <c r="H107" i="7"/>
  <c r="H225" i="7"/>
  <c r="H147" i="7"/>
  <c r="H108" i="7"/>
  <c r="H186" i="7"/>
  <c r="J89" i="7"/>
  <c r="R224" i="7"/>
  <c r="R185" i="7"/>
  <c r="R146" i="7"/>
  <c r="R107" i="7"/>
  <c r="R227" i="7"/>
  <c r="R188" i="7"/>
  <c r="R149" i="7"/>
  <c r="R110" i="7"/>
  <c r="Z182" i="7"/>
  <c r="Z221" i="7"/>
  <c r="Z104" i="7"/>
  <c r="Z143" i="7"/>
  <c r="L219" i="7"/>
  <c r="L180" i="7"/>
  <c r="L141" i="7"/>
  <c r="M221" i="7"/>
  <c r="M143" i="7"/>
  <c r="M182" i="7"/>
  <c r="M104" i="7"/>
  <c r="M226" i="7"/>
  <c r="M187" i="7"/>
  <c r="M148" i="7"/>
  <c r="M109" i="7"/>
  <c r="F218" i="7"/>
  <c r="F179" i="7"/>
  <c r="F101" i="7"/>
  <c r="F140" i="7"/>
  <c r="K223" i="7"/>
  <c r="K184" i="7"/>
  <c r="K145" i="7"/>
  <c r="K106" i="7"/>
  <c r="S179" i="7"/>
  <c r="S218" i="7"/>
  <c r="S101" i="7"/>
  <c r="S140" i="7"/>
  <c r="S225" i="7"/>
  <c r="S186" i="7"/>
  <c r="S147" i="7"/>
  <c r="S108" i="7"/>
  <c r="D222" i="7"/>
  <c r="D144" i="7"/>
  <c r="D105" i="7"/>
  <c r="D183" i="7"/>
  <c r="T179" i="7"/>
  <c r="T218" i="7"/>
  <c r="T101" i="7"/>
  <c r="T140" i="7"/>
  <c r="E219" i="7"/>
  <c r="E141" i="7"/>
  <c r="E221" i="7"/>
  <c r="E143" i="7"/>
  <c r="E104" i="7"/>
  <c r="V183" i="7"/>
  <c r="V222" i="7"/>
  <c r="V144" i="7"/>
  <c r="V105" i="7"/>
  <c r="G218" i="7"/>
  <c r="G179" i="7"/>
  <c r="G140" i="7"/>
  <c r="G101" i="7"/>
  <c r="W226" i="7"/>
  <c r="W148" i="7"/>
  <c r="W109" i="7"/>
  <c r="W187" i="7"/>
  <c r="W89" i="7"/>
  <c r="X224" i="7"/>
  <c r="X146" i="7"/>
  <c r="X185" i="7"/>
  <c r="X107" i="7"/>
  <c r="P218" i="7"/>
  <c r="P179" i="7"/>
  <c r="P140" i="7"/>
  <c r="P101" i="7"/>
  <c r="AA180" i="7"/>
  <c r="AA219" i="7"/>
  <c r="AA141" i="7"/>
  <c r="C220" i="7"/>
  <c r="W220" i="7"/>
  <c r="F220" i="7"/>
  <c r="Q220" i="7"/>
  <c r="E220" i="7"/>
  <c r="U220" i="7"/>
  <c r="AA220" i="7"/>
  <c r="D220" i="7"/>
  <c r="N220" i="7"/>
  <c r="V220" i="7"/>
  <c r="J220" i="7"/>
  <c r="L220" i="7"/>
  <c r="G220" i="7"/>
  <c r="X220" i="7"/>
  <c r="Y220" i="7"/>
  <c r="R220" i="7"/>
  <c r="Z220" i="7"/>
  <c r="M220" i="7"/>
  <c r="K220" i="7"/>
  <c r="H220" i="7"/>
  <c r="S220" i="7"/>
  <c r="P220" i="7"/>
  <c r="T220" i="7"/>
  <c r="O220" i="7"/>
  <c r="I220" i="7"/>
  <c r="C209" i="7"/>
  <c r="Q174" i="7"/>
  <c r="D171" i="7"/>
  <c r="D210" i="7"/>
  <c r="P171" i="7"/>
  <c r="E172" i="7"/>
  <c r="E211" i="7"/>
  <c r="F173" i="7"/>
  <c r="G171" i="7"/>
  <c r="Q171" i="7"/>
  <c r="E171" i="7"/>
  <c r="E210" i="7"/>
  <c r="F170" i="7"/>
  <c r="G173" i="7"/>
  <c r="C174" i="7"/>
  <c r="C213" i="7"/>
  <c r="C171" i="7"/>
  <c r="C210" i="7"/>
  <c r="Q172" i="7"/>
  <c r="D172" i="7"/>
  <c r="D211" i="7"/>
  <c r="E173" i="7"/>
  <c r="E212" i="7"/>
  <c r="P172" i="7"/>
  <c r="D170" i="7"/>
  <c r="D209" i="7"/>
  <c r="Q173" i="7"/>
  <c r="G170" i="7"/>
  <c r="C172" i="7"/>
  <c r="C211" i="7"/>
  <c r="C173" i="7"/>
  <c r="C212" i="7"/>
  <c r="P174" i="7"/>
  <c r="Q170" i="7"/>
  <c r="D174" i="7"/>
  <c r="D213" i="7"/>
  <c r="P173" i="7"/>
  <c r="E174" i="7"/>
  <c r="E213" i="7"/>
  <c r="P170" i="7"/>
  <c r="F172" i="7"/>
  <c r="D173" i="7"/>
  <c r="D212" i="7"/>
  <c r="G172" i="7"/>
  <c r="F174" i="7"/>
  <c r="F171" i="7"/>
  <c r="E170" i="7"/>
  <c r="E209" i="7"/>
  <c r="G174" i="7"/>
  <c r="H142" i="7"/>
  <c r="P142" i="7"/>
  <c r="P181" i="7"/>
  <c r="L142" i="7"/>
  <c r="L181" i="7"/>
  <c r="G142" i="7"/>
  <c r="X142" i="7"/>
  <c r="X181" i="7"/>
  <c r="K142" i="7"/>
  <c r="K181" i="7"/>
  <c r="S142" i="7"/>
  <c r="S181" i="7"/>
  <c r="J142" i="7"/>
  <c r="J181" i="7"/>
  <c r="T142" i="7"/>
  <c r="T181" i="7"/>
  <c r="O142" i="7"/>
  <c r="O181" i="7"/>
  <c r="I142" i="7"/>
  <c r="I181" i="7"/>
  <c r="C142" i="7"/>
  <c r="W142" i="7"/>
  <c r="W181" i="7"/>
  <c r="F142" i="7"/>
  <c r="R142" i="7"/>
  <c r="R181" i="7"/>
  <c r="Q142" i="7"/>
  <c r="Q181" i="7"/>
  <c r="Y142" i="7"/>
  <c r="Y181" i="7"/>
  <c r="E142" i="7"/>
  <c r="U142" i="7"/>
  <c r="U181" i="7"/>
  <c r="Z142" i="7"/>
  <c r="Z181" i="7"/>
  <c r="AA142" i="7"/>
  <c r="AA181" i="7"/>
  <c r="D142" i="7"/>
  <c r="N142" i="7"/>
  <c r="N181" i="7"/>
  <c r="M142" i="7"/>
  <c r="M181" i="7"/>
  <c r="V142" i="7"/>
  <c r="V181" i="7"/>
  <c r="C131" i="7"/>
  <c r="C170" i="7"/>
  <c r="E96" i="7"/>
  <c r="E135" i="7"/>
  <c r="Q95" i="7"/>
  <c r="C96" i="7"/>
  <c r="C135" i="7"/>
  <c r="Q94" i="7"/>
  <c r="E94" i="7"/>
  <c r="E133" i="7"/>
  <c r="F95" i="7"/>
  <c r="G93" i="7"/>
  <c r="Q93" i="7"/>
  <c r="D93" i="7"/>
  <c r="D132" i="7"/>
  <c r="P92" i="7"/>
  <c r="C93" i="7"/>
  <c r="C132" i="7"/>
  <c r="P93" i="7"/>
  <c r="D94" i="7"/>
  <c r="D133" i="7"/>
  <c r="E95" i="7"/>
  <c r="E134" i="7"/>
  <c r="P94" i="7"/>
  <c r="F94" i="7"/>
  <c r="G92" i="7"/>
  <c r="C94" i="7"/>
  <c r="C133" i="7"/>
  <c r="P96" i="7"/>
  <c r="F96" i="7"/>
  <c r="F93" i="7"/>
  <c r="E92" i="7"/>
  <c r="E131" i="7"/>
  <c r="G96" i="7"/>
  <c r="G95" i="7"/>
  <c r="D95" i="7"/>
  <c r="D134" i="7"/>
  <c r="G94" i="7"/>
  <c r="C95" i="7"/>
  <c r="C134" i="7"/>
  <c r="Q92" i="7"/>
  <c r="D96" i="7"/>
  <c r="D135" i="7"/>
  <c r="E93" i="7"/>
  <c r="E132" i="7"/>
  <c r="D92" i="7"/>
  <c r="D131" i="7"/>
  <c r="P95" i="7"/>
  <c r="Q96" i="7"/>
  <c r="F92" i="7"/>
  <c r="C92" i="7"/>
  <c r="Q11" i="7"/>
  <c r="G11" i="7"/>
  <c r="F11" i="7"/>
  <c r="E11" i="7"/>
  <c r="C11" i="7"/>
  <c r="D11" i="7"/>
  <c r="P11" i="7"/>
  <c r="O11" i="7"/>
  <c r="Y128" i="7" l="1"/>
  <c r="R128" i="7"/>
  <c r="U128" i="7"/>
  <c r="W128" i="7"/>
  <c r="X128" i="7"/>
  <c r="P128" i="7"/>
  <c r="T128" i="7"/>
  <c r="S128" i="7"/>
  <c r="I128" i="7"/>
  <c r="Q128" i="7"/>
  <c r="Z128" i="7"/>
  <c r="V128" i="7"/>
  <c r="N128" i="7"/>
  <c r="H128" i="7"/>
  <c r="J128" i="7"/>
  <c r="O128" i="7"/>
  <c r="L128" i="7"/>
  <c r="K128" i="7"/>
  <c r="M128" i="7"/>
  <c r="F130" i="7"/>
  <c r="E130" i="7"/>
  <c r="D130" i="7"/>
  <c r="G130" i="7"/>
  <c r="Q130" i="7"/>
  <c r="P130" i="7"/>
  <c r="C130" i="7"/>
  <c r="F91" i="7"/>
  <c r="Q91" i="7"/>
  <c r="P91" i="7"/>
  <c r="G91" i="7"/>
  <c r="C91" i="7"/>
  <c r="E91" i="7"/>
  <c r="D91" i="7"/>
  <c r="G51" i="7"/>
  <c r="Q51" i="7"/>
  <c r="Q247" i="7" s="1"/>
  <c r="P51" i="7"/>
  <c r="P247" i="7" s="1"/>
  <c r="D8" i="7"/>
  <c r="AW73" i="5" s="1"/>
  <c r="D51" i="7"/>
  <c r="C8" i="7"/>
  <c r="C51" i="7"/>
  <c r="E8" i="7"/>
  <c r="AW74" i="5" s="1"/>
  <c r="E51" i="7"/>
  <c r="F8" i="7"/>
  <c r="AW75" i="5" s="1"/>
  <c r="F51" i="7"/>
  <c r="AW72" i="5" l="1"/>
  <c r="E48" i="7"/>
  <c r="AX74" i="5" s="1"/>
  <c r="E247" i="7"/>
  <c r="G48" i="7"/>
  <c r="AX76" i="5" s="1"/>
  <c r="G247" i="7"/>
  <c r="F48" i="7"/>
  <c r="AX75" i="5" s="1"/>
  <c r="F247" i="7"/>
  <c r="D48" i="7"/>
  <c r="AX73" i="5" s="1"/>
  <c r="D247" i="7"/>
  <c r="C48" i="7"/>
  <c r="C247" i="7"/>
  <c r="C6" i="7"/>
  <c r="P169" i="7"/>
  <c r="Q169" i="7"/>
  <c r="C169" i="7"/>
  <c r="F127" i="7"/>
  <c r="F208" i="7"/>
  <c r="C127" i="7"/>
  <c r="C208" i="7"/>
  <c r="E127" i="7"/>
  <c r="E208" i="7"/>
  <c r="G127" i="7"/>
  <c r="G208" i="7"/>
  <c r="D127" i="7"/>
  <c r="D208" i="7"/>
  <c r="G88" i="7"/>
  <c r="AY76" i="5" s="1"/>
  <c r="F88" i="7"/>
  <c r="AY75" i="5" s="1"/>
  <c r="D88" i="7"/>
  <c r="AY73" i="5" s="1"/>
  <c r="E88" i="7"/>
  <c r="AY74" i="5" s="1"/>
  <c r="C88" i="7"/>
  <c r="AY72" i="5" s="1"/>
  <c r="AZ75" i="5" l="1"/>
  <c r="AZ76" i="5"/>
  <c r="AZ73" i="5"/>
  <c r="AZ74" i="5"/>
  <c r="AZ72" i="5"/>
  <c r="AX72" i="5"/>
  <c r="F244" i="7"/>
  <c r="BC75" i="5" s="1"/>
  <c r="E244" i="7"/>
  <c r="BC74" i="5" s="1"/>
  <c r="C46" i="7"/>
  <c r="C244" i="7"/>
  <c r="D244" i="7"/>
  <c r="BC73" i="5" s="1"/>
  <c r="G244" i="7"/>
  <c r="BC76" i="5" s="1"/>
  <c r="D169" i="7"/>
  <c r="F169" i="7"/>
  <c r="G169" i="7"/>
  <c r="E169" i="7"/>
  <c r="C125" i="7"/>
  <c r="C205" i="7"/>
  <c r="C86" i="7"/>
  <c r="C6" i="4"/>
  <c r="C3" i="4" s="1"/>
  <c r="C27" i="4" s="1"/>
  <c r="D6" i="4"/>
  <c r="D3" i="4" s="1"/>
  <c r="D27" i="4" s="1"/>
  <c r="E6" i="4"/>
  <c r="E3" i="4" s="1"/>
  <c r="E27" i="4" s="1"/>
  <c r="F6" i="4"/>
  <c r="F3" i="4" s="1"/>
  <c r="F27" i="4" s="1"/>
  <c r="G6" i="4"/>
  <c r="G3" i="4" s="1"/>
  <c r="H6" i="4"/>
  <c r="H3" i="4" s="1"/>
  <c r="I6" i="4"/>
  <c r="I3" i="4" s="1"/>
  <c r="J6" i="4"/>
  <c r="J3" i="4" s="1"/>
  <c r="K6" i="4"/>
  <c r="K3" i="4" s="1"/>
  <c r="L6" i="4"/>
  <c r="L3" i="4" s="1"/>
  <c r="M6" i="4"/>
  <c r="M3" i="4" s="1"/>
  <c r="O6" i="4"/>
  <c r="O3" i="4" s="1"/>
  <c r="Q6" i="4"/>
  <c r="Q3" i="4" s="1"/>
  <c r="R6" i="4"/>
  <c r="R3" i="4" s="1"/>
  <c r="S6" i="4"/>
  <c r="S3" i="4" s="1"/>
  <c r="T6" i="4"/>
  <c r="T3" i="4" s="1"/>
  <c r="U6" i="4"/>
  <c r="U3" i="4" s="1"/>
  <c r="V6" i="4"/>
  <c r="V3" i="4" s="1"/>
  <c r="W6" i="4"/>
  <c r="W3" i="4" s="1"/>
  <c r="X6" i="4"/>
  <c r="X3" i="4" s="1"/>
  <c r="Y6" i="4"/>
  <c r="Y3" i="4" s="1"/>
  <c r="Z6" i="4"/>
  <c r="Z3" i="4" s="1"/>
  <c r="W5" i="4"/>
  <c r="X5" i="4"/>
  <c r="Y5" i="4"/>
  <c r="Z5" i="4"/>
  <c r="F9" i="4"/>
  <c r="E9" i="4"/>
  <c r="D9" i="4"/>
  <c r="C9" i="4"/>
  <c r="C12" i="4"/>
  <c r="D12" i="4"/>
  <c r="E12" i="4"/>
  <c r="F12" i="4"/>
  <c r="N20" i="4"/>
  <c r="V20" i="4"/>
  <c r="Y20" i="4"/>
  <c r="J20" i="4"/>
  <c r="M20" i="4"/>
  <c r="U20" i="4"/>
  <c r="X20" i="4"/>
  <c r="Z20" i="4"/>
  <c r="N35" i="3"/>
  <c r="H14" i="3"/>
  <c r="I14" i="3" s="1"/>
  <c r="J14" i="3" s="1"/>
  <c r="K14" i="3" s="1"/>
  <c r="L14" i="3" s="1"/>
  <c r="H28" i="3"/>
  <c r="I28" i="3" s="1"/>
  <c r="J28" i="3" s="1"/>
  <c r="K28" i="3" s="1"/>
  <c r="L28" i="3" s="1"/>
  <c r="H35" i="3"/>
  <c r="I35" i="3" s="1"/>
  <c r="J35" i="3" s="1"/>
  <c r="K35" i="3" s="1"/>
  <c r="L35" i="3" s="1"/>
  <c r="T20" i="4"/>
  <c r="S20" i="4"/>
  <c r="L20" i="4"/>
  <c r="K20" i="4"/>
  <c r="W20" i="4"/>
  <c r="R20" i="4"/>
  <c r="H7" i="3"/>
  <c r="I7" i="3" s="1"/>
  <c r="J7" i="3" s="1"/>
  <c r="K7" i="3" s="1"/>
  <c r="L7" i="3" s="1"/>
  <c r="D2" i="4"/>
  <c r="E2" i="4" s="1"/>
  <c r="F2" i="4" s="1"/>
  <c r="G2" i="4" s="1"/>
  <c r="H2" i="4" s="1"/>
  <c r="I2" i="4" s="1"/>
  <c r="J2" i="4" s="1"/>
  <c r="K2" i="4" s="1"/>
  <c r="L2" i="4" s="1"/>
  <c r="M2" i="4" s="1"/>
  <c r="N2" i="4" s="1"/>
  <c r="O2" i="4" s="1"/>
  <c r="P2" i="4" s="1"/>
  <c r="Q2" i="4" s="1"/>
  <c r="R2" i="4" s="1"/>
  <c r="S2" i="4" s="1"/>
  <c r="T2" i="4" s="1"/>
  <c r="U2" i="4" s="1"/>
  <c r="V2" i="4" s="1"/>
  <c r="W2" i="4" s="1"/>
  <c r="X2" i="4" s="1"/>
  <c r="Y2" i="4" s="1"/>
  <c r="Z2" i="4" s="1"/>
  <c r="C242" i="7" l="1"/>
  <c r="BC72" i="5"/>
  <c r="BB72" i="5"/>
  <c r="C203" i="7"/>
  <c r="E166" i="7"/>
  <c r="BA74" i="5" s="1"/>
  <c r="G166" i="7"/>
  <c r="BA76" i="5" s="1"/>
  <c r="F166" i="7"/>
  <c r="BA75" i="5" s="1"/>
  <c r="C166" i="7"/>
  <c r="D166" i="7"/>
  <c r="BA73" i="5" s="1"/>
  <c r="F28" i="4"/>
  <c r="E28" i="4"/>
  <c r="D28" i="4"/>
  <c r="C28" i="4"/>
  <c r="C8" i="4"/>
  <c r="F8" i="4"/>
  <c r="E8" i="4"/>
  <c r="D8" i="4"/>
  <c r="I20" i="4"/>
  <c r="D15" i="3"/>
  <c r="BA72" i="5" l="1"/>
  <c r="C164" i="7"/>
  <c r="D20" i="7"/>
  <c r="C5" i="7"/>
  <c r="D5" i="7"/>
  <c r="E5" i="7"/>
  <c r="F5" i="7"/>
  <c r="T20" i="7"/>
  <c r="E20" i="7"/>
  <c r="U20" i="7"/>
  <c r="F20" i="7"/>
  <c r="V20" i="7"/>
  <c r="G20" i="7"/>
  <c r="O20" i="7"/>
  <c r="W20" i="7"/>
  <c r="H20" i="7"/>
  <c r="P20" i="7"/>
  <c r="X20" i="7"/>
  <c r="Q20" i="7"/>
  <c r="Y20" i="7"/>
  <c r="R20" i="7"/>
  <c r="Z20" i="7"/>
  <c r="S20" i="7"/>
  <c r="AA20" i="7"/>
  <c r="C20" i="7"/>
  <c r="F29" i="4"/>
  <c r="C29" i="4"/>
  <c r="E29" i="4"/>
  <c r="D29" i="4"/>
  <c r="C85" i="7" l="1"/>
  <c r="C84" i="7" s="1"/>
  <c r="C163" i="7" s="1"/>
  <c r="C162" i="7" s="1"/>
  <c r="C45" i="7"/>
  <c r="C44" i="7" s="1"/>
  <c r="F241" i="7"/>
  <c r="F240" i="7" s="1"/>
  <c r="F45" i="7"/>
  <c r="F44" i="7" s="1"/>
  <c r="E241" i="7"/>
  <c r="E240" i="7" s="1"/>
  <c r="E45" i="7"/>
  <c r="E44" i="7" s="1"/>
  <c r="D241" i="7"/>
  <c r="D240" i="7" s="1"/>
  <c r="D45" i="7"/>
  <c r="D44" i="7" s="1"/>
  <c r="K256" i="7"/>
  <c r="K255" i="7" s="1"/>
  <c r="K253" i="7" s="1"/>
  <c r="K272" i="7" s="1"/>
  <c r="K59" i="7"/>
  <c r="K57" i="7" s="1"/>
  <c r="K76" i="7" s="1"/>
  <c r="L256" i="7"/>
  <c r="L255" i="7" s="1"/>
  <c r="L253" i="7" s="1"/>
  <c r="L272" i="7" s="1"/>
  <c r="L59" i="7"/>
  <c r="L57" i="7" s="1"/>
  <c r="L76" i="7" s="1"/>
  <c r="Q256" i="7"/>
  <c r="Q255" i="7" s="1"/>
  <c r="Q253" i="7" s="1"/>
  <c r="Q272" i="7" s="1"/>
  <c r="Q59" i="7"/>
  <c r="Q57" i="7" s="1"/>
  <c r="Q76" i="7" s="1"/>
  <c r="V256" i="7"/>
  <c r="V255" i="7" s="1"/>
  <c r="V253" i="7" s="1"/>
  <c r="V272" i="7" s="1"/>
  <c r="V59" i="7"/>
  <c r="V57" i="7" s="1"/>
  <c r="V76" i="7" s="1"/>
  <c r="G256" i="7"/>
  <c r="G255" i="7" s="1"/>
  <c r="G59" i="7"/>
  <c r="N256" i="7"/>
  <c r="N255" i="7" s="1"/>
  <c r="N253" i="7" s="1"/>
  <c r="N272" i="7" s="1"/>
  <c r="N59" i="7"/>
  <c r="N57" i="7" s="1"/>
  <c r="N76" i="7" s="1"/>
  <c r="P256" i="7"/>
  <c r="P255" i="7" s="1"/>
  <c r="P253" i="7" s="1"/>
  <c r="P272" i="7" s="1"/>
  <c r="P59" i="7"/>
  <c r="P57" i="7" s="1"/>
  <c r="P76" i="7" s="1"/>
  <c r="Y256" i="7"/>
  <c r="Y255" i="7" s="1"/>
  <c r="Y253" i="7" s="1"/>
  <c r="Y272" i="7" s="1"/>
  <c r="Y59" i="7"/>
  <c r="Y57" i="7" s="1"/>
  <c r="Y76" i="7" s="1"/>
  <c r="D256" i="7"/>
  <c r="D255" i="7" s="1"/>
  <c r="D59" i="7"/>
  <c r="D57" i="7" s="1"/>
  <c r="AX35" i="5" s="1"/>
  <c r="C256" i="7"/>
  <c r="C255" i="7" s="1"/>
  <c r="C59" i="7"/>
  <c r="C57" i="7" s="1"/>
  <c r="AA256" i="7"/>
  <c r="AA255" i="7" s="1"/>
  <c r="AA253" i="7" s="1"/>
  <c r="AA272" i="7" s="1"/>
  <c r="AA59" i="7"/>
  <c r="AA57" i="7" s="1"/>
  <c r="AA76" i="7" s="1"/>
  <c r="I256" i="7"/>
  <c r="I255" i="7" s="1"/>
  <c r="I253" i="7" s="1"/>
  <c r="I272" i="7" s="1"/>
  <c r="I59" i="7"/>
  <c r="I57" i="7" s="1"/>
  <c r="I76" i="7" s="1"/>
  <c r="S256" i="7"/>
  <c r="S255" i="7" s="1"/>
  <c r="S253" i="7" s="1"/>
  <c r="S272" i="7" s="1"/>
  <c r="S59" i="7"/>
  <c r="S57" i="7" s="1"/>
  <c r="S76" i="7" s="1"/>
  <c r="X256" i="7"/>
  <c r="X255" i="7" s="1"/>
  <c r="X253" i="7" s="1"/>
  <c r="X272" i="7" s="1"/>
  <c r="X59" i="7"/>
  <c r="X57" i="7" s="1"/>
  <c r="X76" i="7" s="1"/>
  <c r="F256" i="7"/>
  <c r="F255" i="7" s="1"/>
  <c r="F59" i="7"/>
  <c r="F57" i="7" s="1"/>
  <c r="AX37" i="5" s="1"/>
  <c r="U256" i="7"/>
  <c r="U255" i="7" s="1"/>
  <c r="U253" i="7" s="1"/>
  <c r="U272" i="7" s="1"/>
  <c r="U59" i="7"/>
  <c r="U57" i="7" s="1"/>
  <c r="U76" i="7" s="1"/>
  <c r="Z256" i="7"/>
  <c r="Z255" i="7" s="1"/>
  <c r="Z253" i="7" s="1"/>
  <c r="Z272" i="7" s="1"/>
  <c r="Z59" i="7"/>
  <c r="Z57" i="7" s="1"/>
  <c r="Z76" i="7" s="1"/>
  <c r="H256" i="7"/>
  <c r="H255" i="7" s="1"/>
  <c r="H253" i="7" s="1"/>
  <c r="H272" i="7" s="1"/>
  <c r="H59" i="7"/>
  <c r="H57" i="7" s="1"/>
  <c r="H76" i="7" s="1"/>
  <c r="M256" i="7"/>
  <c r="M255" i="7" s="1"/>
  <c r="M253" i="7" s="1"/>
  <c r="M272" i="7" s="1"/>
  <c r="M59" i="7"/>
  <c r="M57" i="7" s="1"/>
  <c r="M76" i="7" s="1"/>
  <c r="R256" i="7"/>
  <c r="R255" i="7" s="1"/>
  <c r="R253" i="7" s="1"/>
  <c r="R272" i="7" s="1"/>
  <c r="R59" i="7"/>
  <c r="R57" i="7" s="1"/>
  <c r="R76" i="7" s="1"/>
  <c r="W256" i="7"/>
  <c r="W255" i="7" s="1"/>
  <c r="W253" i="7" s="1"/>
  <c r="W272" i="7" s="1"/>
  <c r="W59" i="7"/>
  <c r="W57" i="7" s="1"/>
  <c r="W76" i="7" s="1"/>
  <c r="E256" i="7"/>
  <c r="E255" i="7" s="1"/>
  <c r="E59" i="7"/>
  <c r="E57" i="7" s="1"/>
  <c r="AX36" i="5" s="1"/>
  <c r="J256" i="7"/>
  <c r="J255" i="7" s="1"/>
  <c r="J253" i="7" s="1"/>
  <c r="J272" i="7" s="1"/>
  <c r="J59" i="7"/>
  <c r="J57" i="7" s="1"/>
  <c r="J76" i="7" s="1"/>
  <c r="O256" i="7"/>
  <c r="O255" i="7" s="1"/>
  <c r="O253" i="7" s="1"/>
  <c r="O272" i="7" s="1"/>
  <c r="O59" i="7"/>
  <c r="O57" i="7" s="1"/>
  <c r="O76" i="7" s="1"/>
  <c r="T256" i="7"/>
  <c r="T255" i="7" s="1"/>
  <c r="T253" i="7" s="1"/>
  <c r="T272" i="7" s="1"/>
  <c r="T59" i="7"/>
  <c r="T57" i="7" s="1"/>
  <c r="T76" i="7" s="1"/>
  <c r="F163" i="7"/>
  <c r="F162" i="7" s="1"/>
  <c r="F202" i="7"/>
  <c r="F201" i="7" s="1"/>
  <c r="E202" i="7"/>
  <c r="E201" i="7" s="1"/>
  <c r="E163" i="7"/>
  <c r="E162" i="7" s="1"/>
  <c r="D202" i="7"/>
  <c r="D201" i="7" s="1"/>
  <c r="D163" i="7"/>
  <c r="D162" i="7" s="1"/>
  <c r="Z217" i="7"/>
  <c r="Z216" i="7" s="1"/>
  <c r="Z214" i="7" s="1"/>
  <c r="Z233" i="7" s="1"/>
  <c r="M217" i="7"/>
  <c r="M216" i="7" s="1"/>
  <c r="M214" i="7" s="1"/>
  <c r="M233" i="7" s="1"/>
  <c r="R217" i="7"/>
  <c r="R216" i="7" s="1"/>
  <c r="R214" i="7" s="1"/>
  <c r="R233" i="7" s="1"/>
  <c r="E217" i="7"/>
  <c r="E216" i="7" s="1"/>
  <c r="E214" i="7" s="1"/>
  <c r="T217" i="7"/>
  <c r="T216" i="7" s="1"/>
  <c r="T214" i="7" s="1"/>
  <c r="T233" i="7" s="1"/>
  <c r="G217" i="7"/>
  <c r="G216" i="7" s="1"/>
  <c r="G214" i="7" s="1"/>
  <c r="Q217" i="7"/>
  <c r="Q216" i="7" s="1"/>
  <c r="Q214" i="7" s="1"/>
  <c r="Q233" i="7" s="1"/>
  <c r="D217" i="7"/>
  <c r="D216" i="7" s="1"/>
  <c r="D214" i="7" s="1"/>
  <c r="AA217" i="7"/>
  <c r="AA216" i="7" s="1"/>
  <c r="AA214" i="7" s="1"/>
  <c r="AA233" i="7" s="1"/>
  <c r="S217" i="7"/>
  <c r="S216" i="7" s="1"/>
  <c r="S214" i="7" s="1"/>
  <c r="S233" i="7" s="1"/>
  <c r="X217" i="7"/>
  <c r="X216" i="7" s="1"/>
  <c r="X214" i="7" s="1"/>
  <c r="X233" i="7" s="1"/>
  <c r="F217" i="7"/>
  <c r="F216" i="7" s="1"/>
  <c r="F214" i="7" s="1"/>
  <c r="H217" i="7"/>
  <c r="H216" i="7" s="1"/>
  <c r="H214" i="7" s="1"/>
  <c r="H233" i="7" s="1"/>
  <c r="W217" i="7"/>
  <c r="W216" i="7" s="1"/>
  <c r="W214" i="7" s="1"/>
  <c r="W233" i="7" s="1"/>
  <c r="J217" i="7"/>
  <c r="J216" i="7" s="1"/>
  <c r="J214" i="7" s="1"/>
  <c r="J233" i="7" s="1"/>
  <c r="O217" i="7"/>
  <c r="O216" i="7" s="1"/>
  <c r="O214" i="7" s="1"/>
  <c r="O233" i="7" s="1"/>
  <c r="Y217" i="7"/>
  <c r="Y216" i="7" s="1"/>
  <c r="Y214" i="7" s="1"/>
  <c r="Y233" i="7" s="1"/>
  <c r="L217" i="7"/>
  <c r="L216" i="7" s="1"/>
  <c r="L214" i="7" s="1"/>
  <c r="L233" i="7" s="1"/>
  <c r="V217" i="7"/>
  <c r="V216" i="7" s="1"/>
  <c r="V214" i="7" s="1"/>
  <c r="V233" i="7" s="1"/>
  <c r="C217" i="7"/>
  <c r="C216" i="7" s="1"/>
  <c r="C214" i="7" s="1"/>
  <c r="I217" i="7"/>
  <c r="I216" i="7" s="1"/>
  <c r="I214" i="7" s="1"/>
  <c r="I233" i="7" s="1"/>
  <c r="N217" i="7"/>
  <c r="N216" i="7" s="1"/>
  <c r="N214" i="7" s="1"/>
  <c r="N233" i="7" s="1"/>
  <c r="K217" i="7"/>
  <c r="K216" i="7" s="1"/>
  <c r="K214" i="7" s="1"/>
  <c r="K233" i="7" s="1"/>
  <c r="P217" i="7"/>
  <c r="P216" i="7" s="1"/>
  <c r="P214" i="7" s="1"/>
  <c r="P233" i="7" s="1"/>
  <c r="U217" i="7"/>
  <c r="U216" i="7" s="1"/>
  <c r="U214" i="7" s="1"/>
  <c r="U233" i="7" s="1"/>
  <c r="AA139" i="7"/>
  <c r="AA138" i="7" s="1"/>
  <c r="AA136" i="7" s="1"/>
  <c r="AA155" i="7" s="1"/>
  <c r="AA178" i="7"/>
  <c r="S139" i="7"/>
  <c r="S138" i="7" s="1"/>
  <c r="S136" i="7" s="1"/>
  <c r="S155" i="7" s="1"/>
  <c r="S178" i="7"/>
  <c r="F139" i="7"/>
  <c r="F138" i="7" s="1"/>
  <c r="F136" i="7" s="1"/>
  <c r="F178" i="7"/>
  <c r="D139" i="7"/>
  <c r="D138" i="7" s="1"/>
  <c r="D136" i="7" s="1"/>
  <c r="D178" i="7"/>
  <c r="C139" i="7"/>
  <c r="C138" i="7" s="1"/>
  <c r="C136" i="7" s="1"/>
  <c r="C178" i="7"/>
  <c r="I139" i="7"/>
  <c r="I138" i="7" s="1"/>
  <c r="I136" i="7" s="1"/>
  <c r="I155" i="7" s="1"/>
  <c r="I178" i="7"/>
  <c r="N139" i="7"/>
  <c r="N138" i="7" s="1"/>
  <c r="N136" i="7" s="1"/>
  <c r="N155" i="7" s="1"/>
  <c r="N178" i="7"/>
  <c r="X139" i="7"/>
  <c r="X138" i="7" s="1"/>
  <c r="X136" i="7" s="1"/>
  <c r="X155" i="7" s="1"/>
  <c r="X178" i="7"/>
  <c r="K139" i="7"/>
  <c r="K138" i="7" s="1"/>
  <c r="K136" i="7" s="1"/>
  <c r="K155" i="7" s="1"/>
  <c r="K178" i="7"/>
  <c r="P139" i="7"/>
  <c r="P138" i="7" s="1"/>
  <c r="P136" i="7" s="1"/>
  <c r="P155" i="7" s="1"/>
  <c r="P178" i="7"/>
  <c r="U139" i="7"/>
  <c r="U138" i="7" s="1"/>
  <c r="U136" i="7" s="1"/>
  <c r="U155" i="7" s="1"/>
  <c r="U178" i="7"/>
  <c r="Q139" i="7"/>
  <c r="Q138" i="7" s="1"/>
  <c r="Q136" i="7" s="1"/>
  <c r="Q155" i="7" s="1"/>
  <c r="Q178" i="7"/>
  <c r="Z139" i="7"/>
  <c r="Z138" i="7" s="1"/>
  <c r="Z136" i="7" s="1"/>
  <c r="Z155" i="7" s="1"/>
  <c r="Z178" i="7"/>
  <c r="R139" i="7"/>
  <c r="R138" i="7" s="1"/>
  <c r="R136" i="7" s="1"/>
  <c r="R155" i="7" s="1"/>
  <c r="R178" i="7"/>
  <c r="W139" i="7"/>
  <c r="W138" i="7" s="1"/>
  <c r="W136" i="7" s="1"/>
  <c r="W155" i="7" s="1"/>
  <c r="W178" i="7"/>
  <c r="E139" i="7"/>
  <c r="E138" i="7" s="1"/>
  <c r="E136" i="7" s="1"/>
  <c r="E178" i="7"/>
  <c r="V139" i="7"/>
  <c r="V138" i="7" s="1"/>
  <c r="V136" i="7" s="1"/>
  <c r="V155" i="7" s="1"/>
  <c r="V178" i="7"/>
  <c r="H139" i="7"/>
  <c r="H138" i="7" s="1"/>
  <c r="H136" i="7" s="1"/>
  <c r="H155" i="7" s="1"/>
  <c r="H178" i="7"/>
  <c r="M139" i="7"/>
  <c r="M138" i="7" s="1"/>
  <c r="M136" i="7" s="1"/>
  <c r="M155" i="7" s="1"/>
  <c r="M178" i="7"/>
  <c r="J139" i="7"/>
  <c r="J138" i="7" s="1"/>
  <c r="J136" i="7" s="1"/>
  <c r="J155" i="7" s="1"/>
  <c r="J178" i="7"/>
  <c r="O139" i="7"/>
  <c r="O138" i="7" s="1"/>
  <c r="O136" i="7" s="1"/>
  <c r="O155" i="7" s="1"/>
  <c r="O178" i="7"/>
  <c r="T139" i="7"/>
  <c r="T138" i="7" s="1"/>
  <c r="T136" i="7" s="1"/>
  <c r="T155" i="7" s="1"/>
  <c r="T178" i="7"/>
  <c r="Y139" i="7"/>
  <c r="Y138" i="7" s="1"/>
  <c r="Y136" i="7" s="1"/>
  <c r="Y155" i="7" s="1"/>
  <c r="Y178" i="7"/>
  <c r="G139" i="7"/>
  <c r="G138" i="7" s="1"/>
  <c r="G136" i="7" s="1"/>
  <c r="G178" i="7"/>
  <c r="L139" i="7"/>
  <c r="L138" i="7" s="1"/>
  <c r="L136" i="7" s="1"/>
  <c r="L155" i="7" s="1"/>
  <c r="L178" i="7"/>
  <c r="C100" i="7"/>
  <c r="AA100" i="7"/>
  <c r="AA99" i="7" s="1"/>
  <c r="X100" i="7"/>
  <c r="X99" i="7" s="1"/>
  <c r="K100" i="7"/>
  <c r="K99" i="7" s="1"/>
  <c r="H100" i="7"/>
  <c r="R100" i="7"/>
  <c r="R99" i="7" s="1"/>
  <c r="O100" i="7"/>
  <c r="O99" i="7" s="1"/>
  <c r="Y100" i="7"/>
  <c r="Y99" i="7" s="1"/>
  <c r="G100" i="7"/>
  <c r="L100" i="7"/>
  <c r="I100" i="7"/>
  <c r="N100" i="7"/>
  <c r="N99" i="7" s="1"/>
  <c r="S100" i="7"/>
  <c r="S99" i="7" s="1"/>
  <c r="F100" i="7"/>
  <c r="F99" i="7" s="1"/>
  <c r="P100" i="7"/>
  <c r="U100" i="7"/>
  <c r="U99" i="7" s="1"/>
  <c r="Z100" i="7"/>
  <c r="Z99" i="7" s="1"/>
  <c r="M100" i="7"/>
  <c r="M99" i="7" s="1"/>
  <c r="W100" i="7"/>
  <c r="E100" i="7"/>
  <c r="E99" i="7" s="1"/>
  <c r="J100" i="7"/>
  <c r="T100" i="7"/>
  <c r="T99" i="7" s="1"/>
  <c r="Q100" i="7"/>
  <c r="Q99" i="7" s="1"/>
  <c r="V100" i="7"/>
  <c r="V99" i="7" s="1"/>
  <c r="D100" i="7"/>
  <c r="F85" i="7"/>
  <c r="F84" i="7" s="1"/>
  <c r="F124" i="7"/>
  <c r="F123" i="7" s="1"/>
  <c r="E124" i="7"/>
  <c r="E123" i="7" s="1"/>
  <c r="E85" i="7"/>
  <c r="E84" i="7" s="1"/>
  <c r="D124" i="7"/>
  <c r="D123" i="7" s="1"/>
  <c r="D85" i="7"/>
  <c r="D84" i="7" s="1"/>
  <c r="E4" i="7"/>
  <c r="F4" i="7"/>
  <c r="D4" i="7"/>
  <c r="C4" i="7"/>
  <c r="S19" i="7"/>
  <c r="F19" i="7"/>
  <c r="U19" i="7"/>
  <c r="C19" i="7"/>
  <c r="AA19" i="7"/>
  <c r="X19" i="7"/>
  <c r="P19" i="7"/>
  <c r="Z19" i="7"/>
  <c r="H19" i="7"/>
  <c r="R19" i="7"/>
  <c r="E19" i="7"/>
  <c r="T19" i="7"/>
  <c r="Y19" i="7"/>
  <c r="G19" i="7"/>
  <c r="W19" i="7"/>
  <c r="O19" i="7"/>
  <c r="Q19" i="7"/>
  <c r="V19" i="7"/>
  <c r="D19" i="7"/>
  <c r="H5" i="4"/>
  <c r="I5" i="4"/>
  <c r="J5" i="4"/>
  <c r="K5" i="4"/>
  <c r="L5" i="4"/>
  <c r="M5" i="4"/>
  <c r="N5" i="4"/>
  <c r="O5" i="4"/>
  <c r="P5" i="4"/>
  <c r="Q5" i="4"/>
  <c r="R5" i="4"/>
  <c r="S5" i="4"/>
  <c r="T5" i="4"/>
  <c r="U5" i="4"/>
  <c r="V5" i="4"/>
  <c r="E40" i="3"/>
  <c r="E39" i="3"/>
  <c r="E38" i="3"/>
  <c r="E37" i="3"/>
  <c r="E36" i="3"/>
  <c r="F47" i="3"/>
  <c r="H207" i="7" l="1"/>
  <c r="I207" i="7" s="1"/>
  <c r="J207" i="7" s="1"/>
  <c r="K207" i="7" s="1"/>
  <c r="L207" i="7" s="1"/>
  <c r="M207" i="7" s="1"/>
  <c r="N207" i="7" s="1"/>
  <c r="O207" i="7" s="1"/>
  <c r="P207" i="7" s="1"/>
  <c r="Q207" i="7" s="1"/>
  <c r="R207" i="7" s="1"/>
  <c r="S207" i="7" s="1"/>
  <c r="T207" i="7" s="1"/>
  <c r="U207" i="7" s="1"/>
  <c r="V207" i="7" s="1"/>
  <c r="W207" i="7" s="1"/>
  <c r="X207" i="7" s="1"/>
  <c r="Y207" i="7" s="1"/>
  <c r="Z207" i="7" s="1"/>
  <c r="AA207" i="7" s="1"/>
  <c r="H129" i="7"/>
  <c r="I129" i="7" s="1"/>
  <c r="J129" i="7" s="1"/>
  <c r="K129" i="7" s="1"/>
  <c r="L129" i="7" s="1"/>
  <c r="M129" i="7" s="1"/>
  <c r="N129" i="7" s="1"/>
  <c r="O129" i="7" s="1"/>
  <c r="P129" i="7" s="1"/>
  <c r="Q129" i="7" s="1"/>
  <c r="R129" i="7" s="1"/>
  <c r="S129" i="7" s="1"/>
  <c r="T129" i="7" s="1"/>
  <c r="U129" i="7" s="1"/>
  <c r="V129" i="7" s="1"/>
  <c r="W129" i="7" s="1"/>
  <c r="X129" i="7" s="1"/>
  <c r="Y129" i="7" s="1"/>
  <c r="Z129" i="7" s="1"/>
  <c r="AA129" i="7" s="1"/>
  <c r="BB34" i="5"/>
  <c r="F233" i="7"/>
  <c r="BB37" i="5"/>
  <c r="D233" i="7"/>
  <c r="BB35" i="5"/>
  <c r="E233" i="7"/>
  <c r="BB36" i="5"/>
  <c r="G233" i="7"/>
  <c r="BB38" i="5"/>
  <c r="AZ34" i="5"/>
  <c r="G155" i="7"/>
  <c r="AZ38" i="5"/>
  <c r="D155" i="7"/>
  <c r="AZ35" i="5"/>
  <c r="E155" i="7"/>
  <c r="AZ36" i="5"/>
  <c r="F155" i="7"/>
  <c r="AZ37" i="5"/>
  <c r="C155" i="7"/>
  <c r="C154" i="7" s="1"/>
  <c r="AX34" i="5"/>
  <c r="C124" i="7"/>
  <c r="C123" i="7" s="1"/>
  <c r="C151" i="7" s="1"/>
  <c r="C253" i="7"/>
  <c r="C72" i="7"/>
  <c r="C76" i="7"/>
  <c r="C75" i="7" s="1"/>
  <c r="AX43" i="5" s="1"/>
  <c r="E76" i="7"/>
  <c r="E253" i="7"/>
  <c r="D76" i="7"/>
  <c r="D253" i="7"/>
  <c r="F76" i="7"/>
  <c r="F253" i="7"/>
  <c r="C229" i="7"/>
  <c r="C233" i="7"/>
  <c r="C232" i="7" s="1"/>
  <c r="G99" i="7"/>
  <c r="G97" i="7" s="1"/>
  <c r="AY38" i="5" s="1"/>
  <c r="D99" i="7"/>
  <c r="D97" i="7" s="1"/>
  <c r="AY35" i="5" s="1"/>
  <c r="H99" i="7"/>
  <c r="H97" i="7" s="1"/>
  <c r="C99" i="7"/>
  <c r="C97" i="7" s="1"/>
  <c r="L99" i="7"/>
  <c r="W99" i="7"/>
  <c r="W97" i="7" s="1"/>
  <c r="J99" i="7"/>
  <c r="J97" i="7" s="1"/>
  <c r="P99" i="7"/>
  <c r="P97" i="7" s="1"/>
  <c r="I99" i="7"/>
  <c r="Y97" i="7"/>
  <c r="N97" i="7"/>
  <c r="S97" i="7"/>
  <c r="R97" i="7"/>
  <c r="U97" i="7"/>
  <c r="V97" i="7"/>
  <c r="Z97" i="7"/>
  <c r="T97" i="7"/>
  <c r="AA97" i="7"/>
  <c r="K97" i="7"/>
  <c r="X97" i="7"/>
  <c r="O97" i="7"/>
  <c r="E97" i="7"/>
  <c r="AY36" i="5" s="1"/>
  <c r="M97" i="7"/>
  <c r="Q97" i="7"/>
  <c r="F97" i="7"/>
  <c r="AY37" i="5" s="1"/>
  <c r="E60" i="3"/>
  <c r="F60" i="3" s="1"/>
  <c r="E61" i="3"/>
  <c r="F61" i="3" s="1"/>
  <c r="E59" i="3"/>
  <c r="F59" i="3" s="1"/>
  <c r="E56" i="3"/>
  <c r="E53" i="3"/>
  <c r="F53" i="3" s="1"/>
  <c r="E54" i="3"/>
  <c r="F54" i="3" s="1"/>
  <c r="E58" i="3"/>
  <c r="F58" i="3" s="1"/>
  <c r="E57" i="3"/>
  <c r="F57" i="3" s="1"/>
  <c r="E55" i="3"/>
  <c r="F46" i="3"/>
  <c r="H90" i="7" l="1"/>
  <c r="I90" i="7" s="1"/>
  <c r="J90" i="7" s="1"/>
  <c r="K90" i="7" s="1"/>
  <c r="L90" i="7" s="1"/>
  <c r="M90" i="7" s="1"/>
  <c r="N90" i="7" s="1"/>
  <c r="O90" i="7" s="1"/>
  <c r="P90" i="7" s="1"/>
  <c r="Q90" i="7" s="1"/>
  <c r="R90" i="7" s="1"/>
  <c r="S90" i="7" s="1"/>
  <c r="T90" i="7" s="1"/>
  <c r="U90" i="7" s="1"/>
  <c r="V90" i="7" s="1"/>
  <c r="W90" i="7" s="1"/>
  <c r="X90" i="7" s="1"/>
  <c r="Y90" i="7" s="1"/>
  <c r="Z90" i="7" s="1"/>
  <c r="AA90" i="7" s="1"/>
  <c r="BB43" i="5"/>
  <c r="F272" i="7"/>
  <c r="BC37" i="5"/>
  <c r="BC34" i="5"/>
  <c r="D272" i="7"/>
  <c r="BC35" i="5"/>
  <c r="E272" i="7"/>
  <c r="BC36" i="5"/>
  <c r="BB4" i="5"/>
  <c r="AZ43" i="5"/>
  <c r="AZ4" i="5"/>
  <c r="D156" i="7"/>
  <c r="D158" i="7" s="1"/>
  <c r="AY34" i="5"/>
  <c r="AZ39" i="5"/>
  <c r="D154" i="7"/>
  <c r="AX4" i="5"/>
  <c r="D77" i="7"/>
  <c r="D47" i="7" s="1"/>
  <c r="D46" i="7" s="1"/>
  <c r="D72" i="7" s="1"/>
  <c r="AX5" i="5" s="1"/>
  <c r="D75" i="7"/>
  <c r="C272" i="7"/>
  <c r="C271" i="7" s="1"/>
  <c r="BC43" i="5" s="1"/>
  <c r="C268" i="7"/>
  <c r="BC4" i="5" s="1"/>
  <c r="D234" i="7"/>
  <c r="D232" i="7"/>
  <c r="BB44" i="5" s="1"/>
  <c r="D205" i="7"/>
  <c r="BB73" i="5" s="1"/>
  <c r="H177" i="7"/>
  <c r="C177" i="7"/>
  <c r="L97" i="7"/>
  <c r="J177" i="7"/>
  <c r="I97" i="7"/>
  <c r="I116" i="7" s="1"/>
  <c r="T177" i="7"/>
  <c r="F177" i="7"/>
  <c r="O177" i="7"/>
  <c r="AA177" i="7"/>
  <c r="Z177" i="7"/>
  <c r="Y177" i="7"/>
  <c r="E177" i="7"/>
  <c r="V177" i="7"/>
  <c r="K177" i="7"/>
  <c r="L177" i="7"/>
  <c r="Q177" i="7"/>
  <c r="X177" i="7"/>
  <c r="R177" i="7"/>
  <c r="N177" i="7"/>
  <c r="M177" i="7"/>
  <c r="I177" i="7"/>
  <c r="U177" i="7"/>
  <c r="S177" i="7"/>
  <c r="C112" i="7"/>
  <c r="N116" i="7"/>
  <c r="S116" i="7"/>
  <c r="O116" i="7"/>
  <c r="R116" i="7"/>
  <c r="K116" i="7"/>
  <c r="Y116" i="7"/>
  <c r="W116" i="7"/>
  <c r="X116" i="7"/>
  <c r="V116" i="7"/>
  <c r="Q116" i="7"/>
  <c r="M116" i="7"/>
  <c r="U116" i="7"/>
  <c r="T116" i="7"/>
  <c r="AA116" i="7"/>
  <c r="P116" i="7"/>
  <c r="C116" i="7"/>
  <c r="C115" i="7" s="1"/>
  <c r="D116" i="7"/>
  <c r="F116" i="7"/>
  <c r="E116" i="7"/>
  <c r="I10" i="4"/>
  <c r="E33" i="3"/>
  <c r="F33" i="3" s="1"/>
  <c r="E32" i="3"/>
  <c r="F32" i="3" s="1"/>
  <c r="D48" i="3" s="1"/>
  <c r="F48" i="3" s="1"/>
  <c r="E31" i="3"/>
  <c r="F31" i="3" s="1"/>
  <c r="E30" i="3"/>
  <c r="F30" i="3" s="1"/>
  <c r="E29" i="3"/>
  <c r="F29" i="3" s="1"/>
  <c r="F37" i="3"/>
  <c r="F38" i="3"/>
  <c r="F39" i="3"/>
  <c r="F40" i="3"/>
  <c r="F36" i="3"/>
  <c r="F16" i="3"/>
  <c r="F21" i="3"/>
  <c r="F22" i="3"/>
  <c r="F23" i="3"/>
  <c r="F20" i="3"/>
  <c r="F24" i="3"/>
  <c r="F25" i="3"/>
  <c r="F26" i="3"/>
  <c r="F15" i="3"/>
  <c r="F10" i="3"/>
  <c r="F11" i="3"/>
  <c r="F12" i="3"/>
  <c r="F9" i="3"/>
  <c r="F18" i="3"/>
  <c r="F17" i="3"/>
  <c r="F19" i="3"/>
  <c r="E154" i="7" l="1"/>
  <c r="F156" i="7" s="1"/>
  <c r="F126" i="7" s="1"/>
  <c r="AZ44" i="5"/>
  <c r="D126" i="7"/>
  <c r="D125" i="7" s="1"/>
  <c r="D151" i="7" s="1"/>
  <c r="AZ5" i="5" s="1"/>
  <c r="AY43" i="5"/>
  <c r="E156" i="7"/>
  <c r="E158" i="7" s="1"/>
  <c r="AY4" i="5"/>
  <c r="D79" i="7"/>
  <c r="E77" i="7"/>
  <c r="E47" i="7" s="1"/>
  <c r="E46" i="7" s="1"/>
  <c r="E72" i="7" s="1"/>
  <c r="AX6" i="5" s="1"/>
  <c r="AX44" i="5"/>
  <c r="E75" i="7"/>
  <c r="D273" i="7"/>
  <c r="D271" i="7"/>
  <c r="BC44" i="5" s="1"/>
  <c r="D236" i="7"/>
  <c r="D204" i="7"/>
  <c r="E234" i="7"/>
  <c r="E232" i="7"/>
  <c r="BB45" i="5" s="1"/>
  <c r="P177" i="7"/>
  <c r="G177" i="7"/>
  <c r="G175" i="7" s="1"/>
  <c r="BA38" i="5" s="1"/>
  <c r="D177" i="7"/>
  <c r="W177" i="7"/>
  <c r="X175" i="7"/>
  <c r="U175" i="7"/>
  <c r="N175" i="7"/>
  <c r="V175" i="7"/>
  <c r="Y175" i="7"/>
  <c r="AA175" i="7"/>
  <c r="T175" i="7"/>
  <c r="L175" i="7"/>
  <c r="J175" i="7"/>
  <c r="F175" i="7"/>
  <c r="BA37" i="5" s="1"/>
  <c r="C175" i="7"/>
  <c r="E175" i="7"/>
  <c r="BA36" i="5" s="1"/>
  <c r="M175" i="7"/>
  <c r="K175" i="7"/>
  <c r="Z175" i="7"/>
  <c r="I175" i="7"/>
  <c r="H175" i="7"/>
  <c r="S175" i="7"/>
  <c r="R175" i="7"/>
  <c r="O175" i="7"/>
  <c r="Q175" i="7"/>
  <c r="L116" i="7"/>
  <c r="H116" i="7"/>
  <c r="J116" i="7"/>
  <c r="Z116" i="7"/>
  <c r="D115" i="7"/>
  <c r="AY44" i="5" s="1"/>
  <c r="D117" i="7"/>
  <c r="D87" i="7" s="1"/>
  <c r="D86" i="7" s="1"/>
  <c r="D112" i="7" s="1"/>
  <c r="AA18" i="4"/>
  <c r="P22" i="4"/>
  <c r="Q22" i="4"/>
  <c r="P21" i="4"/>
  <c r="Q21" i="4"/>
  <c r="W16" i="4"/>
  <c r="O16" i="4"/>
  <c r="G16" i="4"/>
  <c r="X16" i="4"/>
  <c r="V16" i="4"/>
  <c r="N16" i="4"/>
  <c r="D16" i="4"/>
  <c r="E16" i="4"/>
  <c r="U16" i="4"/>
  <c r="M16" i="4"/>
  <c r="R16" i="4"/>
  <c r="F16" i="4"/>
  <c r="T16" i="4"/>
  <c r="L16" i="4"/>
  <c r="C16" i="4"/>
  <c r="K16" i="4"/>
  <c r="J16" i="4"/>
  <c r="P16" i="4"/>
  <c r="S16" i="4"/>
  <c r="Z16" i="4"/>
  <c r="H16" i="4"/>
  <c r="Y16" i="4"/>
  <c r="Q16" i="4"/>
  <c r="I16" i="4"/>
  <c r="J10" i="4"/>
  <c r="H21" i="4"/>
  <c r="D21" i="4"/>
  <c r="G22" i="4"/>
  <c r="C21" i="4"/>
  <c r="H22" i="4"/>
  <c r="G21" i="4"/>
  <c r="F22" i="4"/>
  <c r="F21" i="4"/>
  <c r="E22" i="4"/>
  <c r="E21" i="4"/>
  <c r="D22" i="4"/>
  <c r="C22" i="4"/>
  <c r="Y18" i="4"/>
  <c r="E18" i="4"/>
  <c r="G18" i="4"/>
  <c r="N18" i="4"/>
  <c r="U18" i="4"/>
  <c r="M18" i="4"/>
  <c r="F18" i="4"/>
  <c r="S18" i="4"/>
  <c r="K18" i="4"/>
  <c r="Q18" i="4"/>
  <c r="P18" i="4"/>
  <c r="C18" i="4"/>
  <c r="O18" i="4"/>
  <c r="D18" i="4"/>
  <c r="T18" i="4"/>
  <c r="Z18" i="4"/>
  <c r="R18" i="4"/>
  <c r="J18" i="4"/>
  <c r="I18" i="4"/>
  <c r="X18" i="4"/>
  <c r="H18" i="4"/>
  <c r="W18" i="4"/>
  <c r="V18" i="4"/>
  <c r="L18" i="4"/>
  <c r="X19" i="4"/>
  <c r="P19" i="4"/>
  <c r="H19" i="4"/>
  <c r="D19" i="4"/>
  <c r="W19" i="4"/>
  <c r="O19" i="4"/>
  <c r="G19" i="4"/>
  <c r="E19" i="4"/>
  <c r="F19" i="4"/>
  <c r="Q19" i="4"/>
  <c r="V19" i="4"/>
  <c r="N19" i="4"/>
  <c r="U19" i="4"/>
  <c r="M19" i="4"/>
  <c r="T19" i="4"/>
  <c r="L19" i="4"/>
  <c r="C19" i="4"/>
  <c r="S19" i="4"/>
  <c r="K19" i="4"/>
  <c r="I19" i="4"/>
  <c r="Z19" i="4"/>
  <c r="R19" i="4"/>
  <c r="J19" i="4"/>
  <c r="Y19" i="4"/>
  <c r="F13" i="3"/>
  <c r="F34" i="3"/>
  <c r="D75" i="3" s="1"/>
  <c r="D77" i="3" s="1"/>
  <c r="F27" i="3"/>
  <c r="D49" i="3" s="1"/>
  <c r="F41" i="3"/>
  <c r="P7" i="4" s="1"/>
  <c r="P6" i="4" s="1"/>
  <c r="P3" i="4" s="1"/>
  <c r="BA34" i="5" l="1"/>
  <c r="BB39" i="5"/>
  <c r="F154" i="7"/>
  <c r="AZ45" i="5"/>
  <c r="F158" i="7"/>
  <c r="E126" i="7"/>
  <c r="E125" i="7" s="1"/>
  <c r="E151" i="7" s="1"/>
  <c r="AZ6" i="5" s="1"/>
  <c r="AY5" i="5"/>
  <c r="F75" i="7"/>
  <c r="AX46" i="5" s="1"/>
  <c r="AX45" i="5"/>
  <c r="E79" i="7"/>
  <c r="F77" i="7"/>
  <c r="F79" i="7" s="1"/>
  <c r="E273" i="7"/>
  <c r="E271" i="7"/>
  <c r="BC45" i="5" s="1"/>
  <c r="D243" i="7"/>
  <c r="D242" i="7" s="1"/>
  <c r="D268" i="7" s="1"/>
  <c r="BC5" i="5" s="1"/>
  <c r="D275" i="7"/>
  <c r="E236" i="7"/>
  <c r="E204" i="7"/>
  <c r="F234" i="7"/>
  <c r="F232" i="7"/>
  <c r="BB46" i="5" s="1"/>
  <c r="P175" i="7"/>
  <c r="E205" i="7"/>
  <c r="BB74" i="5" s="1"/>
  <c r="F125" i="7"/>
  <c r="F151" i="7" s="1"/>
  <c r="AZ7" i="5" s="1"/>
  <c r="F205" i="7"/>
  <c r="BB75" i="5" s="1"/>
  <c r="D175" i="7"/>
  <c r="H168" i="7" s="1"/>
  <c r="I168" i="7" s="1"/>
  <c r="J168" i="7" s="1"/>
  <c r="K168" i="7" s="1"/>
  <c r="L168" i="7" s="1"/>
  <c r="M168" i="7" s="1"/>
  <c r="N168" i="7" s="1"/>
  <c r="O168" i="7" s="1"/>
  <c r="P168" i="7" s="1"/>
  <c r="Q168" i="7" s="1"/>
  <c r="R168" i="7" s="1"/>
  <c r="S168" i="7" s="1"/>
  <c r="T168" i="7" s="1"/>
  <c r="U168" i="7" s="1"/>
  <c r="V168" i="7" s="1"/>
  <c r="W168" i="7" s="1"/>
  <c r="X168" i="7" s="1"/>
  <c r="Y168" i="7" s="1"/>
  <c r="Z168" i="7" s="1"/>
  <c r="AA168" i="7" s="1"/>
  <c r="W175" i="7"/>
  <c r="W194" i="7" s="1"/>
  <c r="Z194" i="7"/>
  <c r="E194" i="7"/>
  <c r="L194" i="7"/>
  <c r="V194" i="7"/>
  <c r="N194" i="7"/>
  <c r="S194" i="7"/>
  <c r="J194" i="7"/>
  <c r="O194" i="7"/>
  <c r="H194" i="7"/>
  <c r="K194" i="7"/>
  <c r="G194" i="7"/>
  <c r="AA194" i="7"/>
  <c r="U194" i="7"/>
  <c r="Q194" i="7"/>
  <c r="T194" i="7"/>
  <c r="C190" i="7"/>
  <c r="C194" i="7"/>
  <c r="R194" i="7"/>
  <c r="I194" i="7"/>
  <c r="M194" i="7"/>
  <c r="F194" i="7"/>
  <c r="Y194" i="7"/>
  <c r="X194" i="7"/>
  <c r="D119" i="7"/>
  <c r="E115" i="7"/>
  <c r="AY45" i="5" s="1"/>
  <c r="E117" i="7"/>
  <c r="E87" i="7" s="1"/>
  <c r="E86" i="7" s="1"/>
  <c r="E112" i="7" s="1"/>
  <c r="G17" i="7"/>
  <c r="AW38" i="5" s="1"/>
  <c r="G57" i="7"/>
  <c r="H50" i="7" s="1"/>
  <c r="I50" i="7" s="1"/>
  <c r="J50" i="7" s="1"/>
  <c r="K50" i="7" s="1"/>
  <c r="L50" i="7" s="1"/>
  <c r="M50" i="7" s="1"/>
  <c r="N50" i="7" s="1"/>
  <c r="O50" i="7" s="1"/>
  <c r="P50" i="7" s="1"/>
  <c r="Q50" i="7" s="1"/>
  <c r="R50" i="7" s="1"/>
  <c r="S50" i="7" s="1"/>
  <c r="T50" i="7" s="1"/>
  <c r="U50" i="7" s="1"/>
  <c r="V50" i="7" s="1"/>
  <c r="W50" i="7" s="1"/>
  <c r="X50" i="7" s="1"/>
  <c r="Y50" i="7" s="1"/>
  <c r="Z50" i="7" s="1"/>
  <c r="AA50" i="7" s="1"/>
  <c r="AA17" i="4"/>
  <c r="AA15" i="4" s="1"/>
  <c r="AA17" i="7"/>
  <c r="AA36" i="7" s="1"/>
  <c r="D17" i="5"/>
  <c r="Q20" i="4"/>
  <c r="N17" i="7"/>
  <c r="R17" i="7"/>
  <c r="W17" i="7"/>
  <c r="U17" i="7"/>
  <c r="M17" i="7"/>
  <c r="J17" i="7"/>
  <c r="D17" i="7"/>
  <c r="AW35" i="5" s="1"/>
  <c r="X17" i="7"/>
  <c r="Z17" i="7"/>
  <c r="S17" i="7"/>
  <c r="H17" i="7"/>
  <c r="V17" i="7"/>
  <c r="T17" i="7"/>
  <c r="F17" i="7"/>
  <c r="AW37" i="5" s="1"/>
  <c r="O17" i="7"/>
  <c r="P17" i="7"/>
  <c r="C17" i="7"/>
  <c r="Q17" i="7"/>
  <c r="E17" i="7"/>
  <c r="AW36" i="5" s="1"/>
  <c r="I17" i="7"/>
  <c r="K17" i="7"/>
  <c r="Y17" i="7"/>
  <c r="L17" i="7"/>
  <c r="K10" i="4"/>
  <c r="Q17" i="4"/>
  <c r="G17" i="4"/>
  <c r="U17" i="4"/>
  <c r="U15" i="4" s="1"/>
  <c r="N17" i="4"/>
  <c r="N15" i="4" s="1"/>
  <c r="D25" i="4"/>
  <c r="F25" i="4"/>
  <c r="C24" i="4"/>
  <c r="R17" i="4"/>
  <c r="R15" i="4" s="1"/>
  <c r="O17" i="4"/>
  <c r="K17" i="4"/>
  <c r="K15" i="4" s="1"/>
  <c r="C25" i="4"/>
  <c r="E25" i="4"/>
  <c r="C17" i="4"/>
  <c r="X17" i="4"/>
  <c r="X15" i="4" s="1"/>
  <c r="J17" i="4"/>
  <c r="J15" i="4" s="1"/>
  <c r="W17" i="4"/>
  <c r="W15" i="4" s="1"/>
  <c r="M17" i="4"/>
  <c r="M15" i="4" s="1"/>
  <c r="Z17" i="4"/>
  <c r="Z15" i="4" s="1"/>
  <c r="S17" i="4"/>
  <c r="S15" i="4" s="1"/>
  <c r="L17" i="4"/>
  <c r="L15" i="4" s="1"/>
  <c r="T17" i="4"/>
  <c r="T15" i="4" s="1"/>
  <c r="I17" i="4"/>
  <c r="I15" i="4" s="1"/>
  <c r="P17" i="4"/>
  <c r="H17" i="4"/>
  <c r="V17" i="4"/>
  <c r="V15" i="4" s="1"/>
  <c r="Y17" i="4"/>
  <c r="Y15" i="4" s="1"/>
  <c r="E17" i="4"/>
  <c r="E24" i="4"/>
  <c r="D17" i="4"/>
  <c r="D24" i="4"/>
  <c r="F17" i="4"/>
  <c r="F24" i="4"/>
  <c r="O20" i="4"/>
  <c r="C20" i="4"/>
  <c r="E20" i="4"/>
  <c r="D20" i="4"/>
  <c r="H20" i="4"/>
  <c r="F20" i="4"/>
  <c r="G20" i="4"/>
  <c r="P20" i="4"/>
  <c r="F42" i="3"/>
  <c r="D56" i="3"/>
  <c r="F56" i="3" s="1"/>
  <c r="H14" i="4" s="1"/>
  <c r="D55" i="3"/>
  <c r="F55" i="3" s="1"/>
  <c r="BA4" i="5" l="1"/>
  <c r="C193" i="7"/>
  <c r="D194" i="7"/>
  <c r="BA35" i="5"/>
  <c r="BA39" i="5" s="1"/>
  <c r="AZ46" i="5"/>
  <c r="G154" i="7"/>
  <c r="G156" i="7"/>
  <c r="AY6" i="5"/>
  <c r="AX38" i="5"/>
  <c r="AX39" i="5" s="1"/>
  <c r="H10" i="7"/>
  <c r="I10" i="7" s="1"/>
  <c r="J10" i="7" s="1"/>
  <c r="K10" i="7" s="1"/>
  <c r="L10" i="7" s="1"/>
  <c r="M10" i="7" s="1"/>
  <c r="N10" i="7" s="1"/>
  <c r="O10" i="7" s="1"/>
  <c r="P10" i="7" s="1"/>
  <c r="Q10" i="7" s="1"/>
  <c r="R10" i="7" s="1"/>
  <c r="S10" i="7" s="1"/>
  <c r="T10" i="7" s="1"/>
  <c r="U10" i="7" s="1"/>
  <c r="V10" i="7" s="1"/>
  <c r="W10" i="7" s="1"/>
  <c r="X10" i="7" s="1"/>
  <c r="Y10" i="7" s="1"/>
  <c r="Z10" i="7" s="1"/>
  <c r="AA10" i="7" s="1"/>
  <c r="G77" i="7"/>
  <c r="G47" i="7" s="1"/>
  <c r="G46" i="7" s="1"/>
  <c r="AW34" i="5"/>
  <c r="AW39" i="5" s="1"/>
  <c r="F47" i="7"/>
  <c r="F46" i="7" s="1"/>
  <c r="F72" i="7" s="1"/>
  <c r="AX7" i="5" s="1"/>
  <c r="G76" i="7"/>
  <c r="G75" i="7" s="1"/>
  <c r="G253" i="7"/>
  <c r="F273" i="7"/>
  <c r="F271" i="7"/>
  <c r="BC46" i="5" s="1"/>
  <c r="E275" i="7"/>
  <c r="E243" i="7"/>
  <c r="E242" i="7" s="1"/>
  <c r="E268" i="7" s="1"/>
  <c r="BC6" i="5" s="1"/>
  <c r="F236" i="7"/>
  <c r="F204" i="7"/>
  <c r="G232" i="7"/>
  <c r="BB47" i="5" s="1"/>
  <c r="G234" i="7"/>
  <c r="P194" i="7"/>
  <c r="G205" i="7"/>
  <c r="BB76" i="5" s="1"/>
  <c r="E119" i="7"/>
  <c r="F117" i="7"/>
  <c r="F87" i="7" s="1"/>
  <c r="F86" i="7" s="1"/>
  <c r="F112" i="7" s="1"/>
  <c r="F115" i="7"/>
  <c r="AY46" i="5" s="1"/>
  <c r="C36" i="7"/>
  <c r="C35" i="7" s="1"/>
  <c r="AV33" i="5"/>
  <c r="Q15" i="4"/>
  <c r="G27" i="4"/>
  <c r="G28" i="4" s="1"/>
  <c r="H36" i="7"/>
  <c r="L36" i="7"/>
  <c r="O36" i="7"/>
  <c r="X36" i="7"/>
  <c r="U36" i="7"/>
  <c r="Y36" i="7"/>
  <c r="F36" i="7"/>
  <c r="D36" i="7"/>
  <c r="K36" i="7"/>
  <c r="T36" i="7"/>
  <c r="J36" i="7"/>
  <c r="I36" i="7"/>
  <c r="V36" i="7"/>
  <c r="M36" i="7"/>
  <c r="E36" i="7"/>
  <c r="Q36" i="7"/>
  <c r="S36" i="7"/>
  <c r="W36" i="7"/>
  <c r="Z36" i="7"/>
  <c r="R36" i="7"/>
  <c r="P36" i="7"/>
  <c r="G36" i="7"/>
  <c r="N36" i="7"/>
  <c r="C32" i="7"/>
  <c r="L10" i="4"/>
  <c r="O15" i="4"/>
  <c r="G15" i="4"/>
  <c r="E15" i="4"/>
  <c r="E23" i="4" s="1"/>
  <c r="C15" i="4"/>
  <c r="C23" i="4" s="1"/>
  <c r="P15" i="4"/>
  <c r="F15" i="4"/>
  <c r="F23" i="4" s="1"/>
  <c r="H15" i="4"/>
  <c r="D15" i="4"/>
  <c r="D23" i="4" s="1"/>
  <c r="D74" i="3"/>
  <c r="D76" i="3" s="1"/>
  <c r="G9" i="4"/>
  <c r="F62" i="3"/>
  <c r="F49" i="3"/>
  <c r="BC38" i="5" l="1"/>
  <c r="BC39" i="5" s="1"/>
  <c r="H246" i="7"/>
  <c r="I246" i="7" s="1"/>
  <c r="J246" i="7" s="1"/>
  <c r="K246" i="7" s="1"/>
  <c r="L246" i="7" s="1"/>
  <c r="M246" i="7" s="1"/>
  <c r="N246" i="7" s="1"/>
  <c r="O246" i="7" s="1"/>
  <c r="P246" i="7" s="1"/>
  <c r="Q246" i="7" s="1"/>
  <c r="R246" i="7" s="1"/>
  <c r="S246" i="7" s="1"/>
  <c r="T246" i="7" s="1"/>
  <c r="U246" i="7" s="1"/>
  <c r="V246" i="7" s="1"/>
  <c r="W246" i="7" s="1"/>
  <c r="X246" i="7" s="1"/>
  <c r="Y246" i="7" s="1"/>
  <c r="Z246" i="7" s="1"/>
  <c r="AA246" i="7" s="1"/>
  <c r="G272" i="7"/>
  <c r="G271" i="7" s="1"/>
  <c r="BC47" i="5" s="1"/>
  <c r="BA43" i="5"/>
  <c r="D193" i="7"/>
  <c r="BA44" i="5" s="1"/>
  <c r="D195" i="7"/>
  <c r="D197" i="7" s="1"/>
  <c r="G158" i="7"/>
  <c r="G126" i="7"/>
  <c r="G125" i="7" s="1"/>
  <c r="AZ47" i="5"/>
  <c r="H156" i="7"/>
  <c r="H157" i="7"/>
  <c r="G117" i="7"/>
  <c r="G87" i="7" s="1"/>
  <c r="G86" i="7" s="1"/>
  <c r="AY7" i="5"/>
  <c r="AW43" i="5"/>
  <c r="G79" i="7"/>
  <c r="H77" i="7"/>
  <c r="H47" i="7" s="1"/>
  <c r="AX47" i="5"/>
  <c r="H78" i="7"/>
  <c r="I78" i="7" s="1"/>
  <c r="J78" i="7" s="1"/>
  <c r="K78" i="7" s="1"/>
  <c r="L78" i="7" s="1"/>
  <c r="M78" i="7" s="1"/>
  <c r="N78" i="7" s="1"/>
  <c r="O78" i="7" s="1"/>
  <c r="P78" i="7" s="1"/>
  <c r="Q78" i="7" s="1"/>
  <c r="R78" i="7" s="1"/>
  <c r="S78" i="7" s="1"/>
  <c r="T78" i="7" s="1"/>
  <c r="U78" i="7" s="1"/>
  <c r="V78" i="7" s="1"/>
  <c r="W78" i="7" s="1"/>
  <c r="X78" i="7" s="1"/>
  <c r="Y78" i="7" s="1"/>
  <c r="Z78" i="7" s="1"/>
  <c r="AA78" i="7" s="1"/>
  <c r="G273" i="7"/>
  <c r="F275" i="7"/>
  <c r="F243" i="7"/>
  <c r="F242" i="7" s="1"/>
  <c r="F268" i="7" s="1"/>
  <c r="BC7" i="5" s="1"/>
  <c r="G236" i="7"/>
  <c r="G204" i="7"/>
  <c r="H234" i="7"/>
  <c r="H204" i="7" s="1"/>
  <c r="H235" i="7"/>
  <c r="I235" i="7" s="1"/>
  <c r="J235" i="7" s="1"/>
  <c r="K235" i="7" s="1"/>
  <c r="L235" i="7" s="1"/>
  <c r="M235" i="7" s="1"/>
  <c r="N235" i="7" s="1"/>
  <c r="O235" i="7" s="1"/>
  <c r="P235" i="7" s="1"/>
  <c r="Q235" i="7" s="1"/>
  <c r="R235" i="7" s="1"/>
  <c r="S235" i="7" s="1"/>
  <c r="T235" i="7" s="1"/>
  <c r="U235" i="7" s="1"/>
  <c r="V235" i="7" s="1"/>
  <c r="W235" i="7" s="1"/>
  <c r="X235" i="7" s="1"/>
  <c r="Y235" i="7" s="1"/>
  <c r="Z235" i="7" s="1"/>
  <c r="AA235" i="7" s="1"/>
  <c r="F119" i="7"/>
  <c r="G116" i="7"/>
  <c r="G115" i="7" s="1"/>
  <c r="AY47" i="5" s="1"/>
  <c r="G5" i="7"/>
  <c r="AW4" i="5"/>
  <c r="D37" i="7"/>
  <c r="D7" i="7" s="1"/>
  <c r="D6" i="7" s="1"/>
  <c r="D32" i="7" s="1"/>
  <c r="G24" i="4"/>
  <c r="H13" i="4"/>
  <c r="G8" i="7"/>
  <c r="AW76" i="5" s="1"/>
  <c r="D35" i="7"/>
  <c r="AW44" i="5" s="1"/>
  <c r="C39" i="7"/>
  <c r="H27" i="4"/>
  <c r="H28" i="4" s="1"/>
  <c r="M10" i="4"/>
  <c r="G29" i="4"/>
  <c r="F50" i="3"/>
  <c r="F63" i="3" s="1"/>
  <c r="H24" i="4"/>
  <c r="I11" i="4"/>
  <c r="H9" i="4"/>
  <c r="I14" i="4"/>
  <c r="E193" i="7" l="1"/>
  <c r="BA45" i="5" s="1"/>
  <c r="E195" i="7"/>
  <c r="E165" i="7" s="1"/>
  <c r="E164" i="7" s="1"/>
  <c r="E190" i="7" s="1"/>
  <c r="BA6" i="5" s="1"/>
  <c r="D165" i="7"/>
  <c r="D164" i="7" s="1"/>
  <c r="D190" i="7" s="1"/>
  <c r="BA5" i="5" s="1"/>
  <c r="H154" i="7"/>
  <c r="I157" i="7"/>
  <c r="H126" i="7"/>
  <c r="H158" i="7"/>
  <c r="G119" i="7"/>
  <c r="G241" i="7"/>
  <c r="G240" i="7" s="1"/>
  <c r="G45" i="7"/>
  <c r="G44" i="7" s="1"/>
  <c r="G72" i="7" s="1"/>
  <c r="AX8" i="5" s="1"/>
  <c r="H79" i="7"/>
  <c r="H75" i="7"/>
  <c r="H273" i="7"/>
  <c r="H274" i="7"/>
  <c r="I274" i="7" s="1"/>
  <c r="J274" i="7" s="1"/>
  <c r="K274" i="7" s="1"/>
  <c r="L274" i="7" s="1"/>
  <c r="M274" i="7" s="1"/>
  <c r="N274" i="7" s="1"/>
  <c r="O274" i="7" s="1"/>
  <c r="P274" i="7" s="1"/>
  <c r="Q274" i="7" s="1"/>
  <c r="R274" i="7" s="1"/>
  <c r="S274" i="7" s="1"/>
  <c r="T274" i="7" s="1"/>
  <c r="U274" i="7" s="1"/>
  <c r="V274" i="7" s="1"/>
  <c r="W274" i="7" s="1"/>
  <c r="X274" i="7" s="1"/>
  <c r="Y274" i="7" s="1"/>
  <c r="Z274" i="7" s="1"/>
  <c r="AA274" i="7" s="1"/>
  <c r="G275" i="7"/>
  <c r="G243" i="7"/>
  <c r="G242" i="7" s="1"/>
  <c r="R88" i="7"/>
  <c r="AY87" i="5" s="1"/>
  <c r="R166" i="7"/>
  <c r="BA87" i="5" s="1"/>
  <c r="K88" i="7"/>
  <c r="AY80" i="5" s="1"/>
  <c r="K166" i="7"/>
  <c r="BA80" i="5" s="1"/>
  <c r="O88" i="7"/>
  <c r="AY84" i="5" s="1"/>
  <c r="O166" i="7"/>
  <c r="BA84" i="5" s="1"/>
  <c r="H88" i="7"/>
  <c r="AY77" i="5" s="1"/>
  <c r="H166" i="7"/>
  <c r="BA77" i="5" s="1"/>
  <c r="Z88" i="7"/>
  <c r="AY95" i="5" s="1"/>
  <c r="Z166" i="7"/>
  <c r="BA95" i="5" s="1"/>
  <c r="U88" i="7"/>
  <c r="AY90" i="5" s="1"/>
  <c r="U166" i="7"/>
  <c r="BA90" i="5" s="1"/>
  <c r="P88" i="7"/>
  <c r="AY85" i="5" s="1"/>
  <c r="P166" i="7"/>
  <c r="BA85" i="5" s="1"/>
  <c r="W88" i="7"/>
  <c r="AY92" i="5" s="1"/>
  <c r="W166" i="7"/>
  <c r="BA92" i="5" s="1"/>
  <c r="V88" i="7"/>
  <c r="AY91" i="5" s="1"/>
  <c r="V166" i="7"/>
  <c r="BA91" i="5" s="1"/>
  <c r="AA88" i="7"/>
  <c r="AY96" i="5" s="1"/>
  <c r="AA166" i="7"/>
  <c r="BA96" i="5" s="1"/>
  <c r="Y88" i="7"/>
  <c r="AY94" i="5" s="1"/>
  <c r="Y166" i="7"/>
  <c r="BA94" i="5" s="1"/>
  <c r="N88" i="7"/>
  <c r="AY83" i="5" s="1"/>
  <c r="N166" i="7"/>
  <c r="BA83" i="5" s="1"/>
  <c r="L88" i="7"/>
  <c r="AY81" i="5" s="1"/>
  <c r="L166" i="7"/>
  <c r="BA81" i="5" s="1"/>
  <c r="J88" i="7"/>
  <c r="AY79" i="5" s="1"/>
  <c r="J166" i="7"/>
  <c r="BA79" i="5" s="1"/>
  <c r="M88" i="7"/>
  <c r="AY82" i="5" s="1"/>
  <c r="M166" i="7"/>
  <c r="BA82" i="5" s="1"/>
  <c r="Q88" i="7"/>
  <c r="AY86" i="5" s="1"/>
  <c r="Q166" i="7"/>
  <c r="BA86" i="5" s="1"/>
  <c r="T88" i="7"/>
  <c r="AY89" i="5" s="1"/>
  <c r="T166" i="7"/>
  <c r="BA89" i="5" s="1"/>
  <c r="X88" i="7"/>
  <c r="AY93" i="5" s="1"/>
  <c r="X166" i="7"/>
  <c r="BA93" i="5" s="1"/>
  <c r="S88" i="7"/>
  <c r="AY88" i="5" s="1"/>
  <c r="S166" i="7"/>
  <c r="BA88" i="5" s="1"/>
  <c r="I88" i="7"/>
  <c r="AY78" i="5" s="1"/>
  <c r="I166" i="7"/>
  <c r="BA78" i="5" s="1"/>
  <c r="H232" i="7"/>
  <c r="BB48" i="5" s="1"/>
  <c r="H236" i="7"/>
  <c r="G163" i="7"/>
  <c r="G162" i="7" s="1"/>
  <c r="G202" i="7"/>
  <c r="G201" i="7" s="1"/>
  <c r="G85" i="7"/>
  <c r="G84" i="7" s="1"/>
  <c r="G112" i="7" s="1"/>
  <c r="G124" i="7"/>
  <c r="G123" i="7" s="1"/>
  <c r="G151" i="7" s="1"/>
  <c r="AZ8" i="5" s="1"/>
  <c r="U48" i="7"/>
  <c r="AX90" i="5" s="1"/>
  <c r="Y48" i="7"/>
  <c r="AX94" i="5" s="1"/>
  <c r="I48" i="7"/>
  <c r="AX78" i="5" s="1"/>
  <c r="K48" i="7"/>
  <c r="AX80" i="5" s="1"/>
  <c r="L48" i="7"/>
  <c r="AX81" i="5" s="1"/>
  <c r="R48" i="7"/>
  <c r="AX87" i="5" s="1"/>
  <c r="J48" i="7"/>
  <c r="AX79" i="5" s="1"/>
  <c r="O48" i="7"/>
  <c r="AX84" i="5" s="1"/>
  <c r="T48" i="7"/>
  <c r="AX89" i="5" s="1"/>
  <c r="X48" i="7"/>
  <c r="AX93" i="5" s="1"/>
  <c r="Q48" i="7"/>
  <c r="AX86" i="5" s="1"/>
  <c r="N48" i="7"/>
  <c r="AX83" i="5" s="1"/>
  <c r="P48" i="7"/>
  <c r="AX85" i="5" s="1"/>
  <c r="S48" i="7"/>
  <c r="AX88" i="5" s="1"/>
  <c r="M48" i="7"/>
  <c r="AX82" i="5" s="1"/>
  <c r="H48" i="7"/>
  <c r="AX77" i="5" s="1"/>
  <c r="W48" i="7"/>
  <c r="AX92" i="5" s="1"/>
  <c r="Z48" i="7"/>
  <c r="AX95" i="5" s="1"/>
  <c r="V48" i="7"/>
  <c r="AX91" i="5" s="1"/>
  <c r="AA48" i="7"/>
  <c r="AX96" i="5" s="1"/>
  <c r="G4" i="7"/>
  <c r="P8" i="7"/>
  <c r="AW85" i="5" s="1"/>
  <c r="R8" i="7"/>
  <c r="AW87" i="5" s="1"/>
  <c r="W8" i="7"/>
  <c r="AW92" i="5" s="1"/>
  <c r="I8" i="7"/>
  <c r="AW78" i="5" s="1"/>
  <c r="Z8" i="7"/>
  <c r="AW95" i="5" s="1"/>
  <c r="V8" i="7"/>
  <c r="AW91" i="5" s="1"/>
  <c r="AA8" i="7"/>
  <c r="AW96" i="5" s="1"/>
  <c r="Q8" i="7"/>
  <c r="AW86" i="5" s="1"/>
  <c r="T8" i="7"/>
  <c r="AW89" i="5" s="1"/>
  <c r="L8" i="7"/>
  <c r="AW81" i="5" s="1"/>
  <c r="K8" i="7"/>
  <c r="AW80" i="5" s="1"/>
  <c r="O8" i="7"/>
  <c r="AW84" i="5" s="1"/>
  <c r="H8" i="7"/>
  <c r="AW77" i="5" s="1"/>
  <c r="U8" i="7"/>
  <c r="AW90" i="5" s="1"/>
  <c r="J8" i="7"/>
  <c r="AW79" i="5" s="1"/>
  <c r="M8" i="7"/>
  <c r="AW82" i="5" s="1"/>
  <c r="Y8" i="7"/>
  <c r="AW94" i="5" s="1"/>
  <c r="N8" i="7"/>
  <c r="AW83" i="5" s="1"/>
  <c r="X8" i="7"/>
  <c r="AW93" i="5" s="1"/>
  <c r="S8" i="7"/>
  <c r="AW88" i="5" s="1"/>
  <c r="H117" i="7"/>
  <c r="H87" i="7" s="1"/>
  <c r="H118" i="7"/>
  <c r="I118" i="7" s="1"/>
  <c r="J118" i="7" s="1"/>
  <c r="K118" i="7" s="1"/>
  <c r="L118" i="7" s="1"/>
  <c r="M118" i="7" s="1"/>
  <c r="N118" i="7" s="1"/>
  <c r="O118" i="7" s="1"/>
  <c r="P118" i="7" s="1"/>
  <c r="Q118" i="7" s="1"/>
  <c r="R118" i="7" s="1"/>
  <c r="S118" i="7" s="1"/>
  <c r="T118" i="7" s="1"/>
  <c r="U118" i="7" s="1"/>
  <c r="V118" i="7" s="1"/>
  <c r="W118" i="7" s="1"/>
  <c r="X118" i="7" s="1"/>
  <c r="Y118" i="7" s="1"/>
  <c r="Z118" i="7" s="1"/>
  <c r="AA118" i="7" s="1"/>
  <c r="AW5" i="5"/>
  <c r="H5" i="7"/>
  <c r="E35" i="7"/>
  <c r="AW45" i="5" s="1"/>
  <c r="E37" i="7"/>
  <c r="D39" i="7"/>
  <c r="I27" i="4"/>
  <c r="I28" i="4" s="1"/>
  <c r="N10" i="4"/>
  <c r="G25" i="4"/>
  <c r="H29" i="4"/>
  <c r="G12" i="4"/>
  <c r="G8" i="4" s="1"/>
  <c r="G23" i="4" s="1"/>
  <c r="I24" i="4"/>
  <c r="J11" i="4"/>
  <c r="I9" i="4"/>
  <c r="J14" i="4"/>
  <c r="F193" i="7" l="1"/>
  <c r="BA46" i="5" s="1"/>
  <c r="F195" i="7"/>
  <c r="F165" i="7" s="1"/>
  <c r="F164" i="7" s="1"/>
  <c r="F190" i="7" s="1"/>
  <c r="BA7" i="5" s="1"/>
  <c r="E197" i="7"/>
  <c r="AY97" i="5"/>
  <c r="AZ48" i="5"/>
  <c r="I156" i="7"/>
  <c r="I154" i="7"/>
  <c r="J157" i="7"/>
  <c r="AY8" i="5"/>
  <c r="AY39" i="5"/>
  <c r="AX97" i="5"/>
  <c r="AW97" i="5"/>
  <c r="I75" i="7"/>
  <c r="J75" i="7" s="1"/>
  <c r="AX48" i="5"/>
  <c r="G268" i="7"/>
  <c r="BC8" i="5" s="1"/>
  <c r="H241" i="7"/>
  <c r="H240" i="7" s="1"/>
  <c r="H45" i="7"/>
  <c r="H44" i="7" s="1"/>
  <c r="W244" i="7"/>
  <c r="BC92" i="5" s="1"/>
  <c r="V244" i="7"/>
  <c r="BC91" i="5" s="1"/>
  <c r="M244" i="7"/>
  <c r="BC82" i="5" s="1"/>
  <c r="I244" i="7"/>
  <c r="BC78" i="5" s="1"/>
  <c r="Q244" i="7"/>
  <c r="BC86" i="5" s="1"/>
  <c r="P244" i="7"/>
  <c r="BC85" i="5" s="1"/>
  <c r="I77" i="7"/>
  <c r="I47" i="7" s="1"/>
  <c r="I46" i="7" s="1"/>
  <c r="Z244" i="7"/>
  <c r="BC95" i="5" s="1"/>
  <c r="S244" i="7"/>
  <c r="BC88" i="5" s="1"/>
  <c r="X244" i="7"/>
  <c r="BC93" i="5" s="1"/>
  <c r="R244" i="7"/>
  <c r="BC87" i="5" s="1"/>
  <c r="Y244" i="7"/>
  <c r="BC94" i="5" s="1"/>
  <c r="J244" i="7"/>
  <c r="BC79" i="5" s="1"/>
  <c r="T244" i="7"/>
  <c r="BC89" i="5" s="1"/>
  <c r="L244" i="7"/>
  <c r="BC81" i="5" s="1"/>
  <c r="U244" i="7"/>
  <c r="BC90" i="5" s="1"/>
  <c r="AA244" i="7"/>
  <c r="BC96" i="5" s="1"/>
  <c r="N244" i="7"/>
  <c r="BC83" i="5" s="1"/>
  <c r="O244" i="7"/>
  <c r="BC84" i="5" s="1"/>
  <c r="K244" i="7"/>
  <c r="BC80" i="5" s="1"/>
  <c r="H46" i="7"/>
  <c r="H244" i="7"/>
  <c r="BC77" i="5" s="1"/>
  <c r="H243" i="7"/>
  <c r="H275" i="7"/>
  <c r="H271" i="7"/>
  <c r="BC48" i="5" s="1"/>
  <c r="D203" i="7"/>
  <c r="D229" i="7" s="1"/>
  <c r="BB5" i="5" s="1"/>
  <c r="I234" i="7"/>
  <c r="I232" i="7"/>
  <c r="BB49" i="5" s="1"/>
  <c r="H202" i="7"/>
  <c r="H201" i="7" s="1"/>
  <c r="Z127" i="7"/>
  <c r="Z208" i="7"/>
  <c r="S127" i="7"/>
  <c r="S208" i="7"/>
  <c r="X127" i="7"/>
  <c r="X208" i="7"/>
  <c r="Y127" i="7"/>
  <c r="Y208" i="7"/>
  <c r="L127" i="7"/>
  <c r="L208" i="7"/>
  <c r="W127" i="7"/>
  <c r="W208" i="7"/>
  <c r="T127" i="7"/>
  <c r="T208" i="7"/>
  <c r="AA127" i="7"/>
  <c r="AA208" i="7"/>
  <c r="H127" i="7"/>
  <c r="H208" i="7"/>
  <c r="N127" i="7"/>
  <c r="N208" i="7"/>
  <c r="O127" i="7"/>
  <c r="O208" i="7"/>
  <c r="K127" i="7"/>
  <c r="K208" i="7"/>
  <c r="P127" i="7"/>
  <c r="P208" i="7"/>
  <c r="U127" i="7"/>
  <c r="U208" i="7"/>
  <c r="R127" i="7"/>
  <c r="R208" i="7"/>
  <c r="V127" i="7"/>
  <c r="V208" i="7"/>
  <c r="M127" i="7"/>
  <c r="M208" i="7"/>
  <c r="Q127" i="7"/>
  <c r="Q208" i="7"/>
  <c r="J127" i="7"/>
  <c r="J208" i="7"/>
  <c r="I127" i="7"/>
  <c r="I208" i="7"/>
  <c r="H124" i="7"/>
  <c r="H123" i="7" s="1"/>
  <c r="H163" i="7"/>
  <c r="H85" i="7"/>
  <c r="H84" i="7" s="1"/>
  <c r="H86" i="7"/>
  <c r="AV71" i="5"/>
  <c r="H4" i="7"/>
  <c r="H119" i="7"/>
  <c r="H115" i="7"/>
  <c r="AY48" i="5" s="1"/>
  <c r="I5" i="7"/>
  <c r="E39" i="7"/>
  <c r="E7" i="7"/>
  <c r="F35" i="7"/>
  <c r="AW46" i="5" s="1"/>
  <c r="F37" i="7"/>
  <c r="J27" i="4"/>
  <c r="J28" i="4" s="1"/>
  <c r="O10" i="4"/>
  <c r="H25" i="4"/>
  <c r="I29" i="4"/>
  <c r="I13" i="4"/>
  <c r="H12" i="4"/>
  <c r="H8" i="4" s="1"/>
  <c r="H23" i="4" s="1"/>
  <c r="J24" i="4"/>
  <c r="K11" i="4"/>
  <c r="J9" i="4"/>
  <c r="K14" i="4"/>
  <c r="BC97" i="5" l="1"/>
  <c r="G195" i="7"/>
  <c r="G197" i="7" s="1"/>
  <c r="G193" i="7"/>
  <c r="H196" i="7" s="1"/>
  <c r="I196" i="7" s="1"/>
  <c r="J196" i="7" s="1"/>
  <c r="K196" i="7" s="1"/>
  <c r="L196" i="7" s="1"/>
  <c r="M196" i="7" s="1"/>
  <c r="N196" i="7" s="1"/>
  <c r="O196" i="7" s="1"/>
  <c r="P196" i="7" s="1"/>
  <c r="Q196" i="7" s="1"/>
  <c r="R196" i="7" s="1"/>
  <c r="S196" i="7" s="1"/>
  <c r="T196" i="7" s="1"/>
  <c r="U196" i="7" s="1"/>
  <c r="V196" i="7" s="1"/>
  <c r="W196" i="7" s="1"/>
  <c r="X196" i="7" s="1"/>
  <c r="Y196" i="7" s="1"/>
  <c r="Z196" i="7" s="1"/>
  <c r="AA196" i="7" s="1"/>
  <c r="F197" i="7"/>
  <c r="AZ87" i="5"/>
  <c r="AZ84" i="5"/>
  <c r="AZ93" i="5"/>
  <c r="AZ90" i="5"/>
  <c r="AZ83" i="5"/>
  <c r="AZ92" i="5"/>
  <c r="AZ88" i="5"/>
  <c r="AZ82" i="5"/>
  <c r="AZ81" i="5"/>
  <c r="AZ95" i="5"/>
  <c r="AZ78" i="5"/>
  <c r="AZ91" i="5"/>
  <c r="AZ80" i="5"/>
  <c r="AZ96" i="5"/>
  <c r="AZ94" i="5"/>
  <c r="AZ79" i="5"/>
  <c r="AZ89" i="5"/>
  <c r="AZ77" i="5"/>
  <c r="AZ85" i="5"/>
  <c r="AZ86" i="5"/>
  <c r="I158" i="7"/>
  <c r="I126" i="7"/>
  <c r="I125" i="7" s="1"/>
  <c r="J154" i="7"/>
  <c r="K157" i="7"/>
  <c r="AZ49" i="5"/>
  <c r="J156" i="7"/>
  <c r="K75" i="7"/>
  <c r="AX51" i="5" s="1"/>
  <c r="AX50" i="5"/>
  <c r="J77" i="7"/>
  <c r="AX49" i="5"/>
  <c r="H72" i="7"/>
  <c r="AX9" i="5" s="1"/>
  <c r="I241" i="7"/>
  <c r="I240" i="7" s="1"/>
  <c r="I45" i="7"/>
  <c r="I44" i="7" s="1"/>
  <c r="I72" i="7" s="1"/>
  <c r="AX10" i="5" s="1"/>
  <c r="I79" i="7"/>
  <c r="K77" i="7"/>
  <c r="K47" i="7" s="1"/>
  <c r="K46" i="7" s="1"/>
  <c r="I273" i="7"/>
  <c r="I271" i="7"/>
  <c r="BC49" i="5" s="1"/>
  <c r="H242" i="7"/>
  <c r="H268" i="7" s="1"/>
  <c r="BC9" i="5" s="1"/>
  <c r="I236" i="7"/>
  <c r="I204" i="7"/>
  <c r="E203" i="7"/>
  <c r="E229" i="7" s="1"/>
  <c r="BB6" i="5" s="1"/>
  <c r="J234" i="7"/>
  <c r="J232" i="7"/>
  <c r="BB50" i="5" s="1"/>
  <c r="I202" i="7"/>
  <c r="I201" i="7" s="1"/>
  <c r="H162" i="7"/>
  <c r="J205" i="7"/>
  <c r="BB79" i="5" s="1"/>
  <c r="H125" i="7"/>
  <c r="H151" i="7" s="1"/>
  <c r="AZ9" i="5" s="1"/>
  <c r="H205" i="7"/>
  <c r="BB77" i="5" s="1"/>
  <c r="I205" i="7"/>
  <c r="BB78" i="5" s="1"/>
  <c r="K205" i="7"/>
  <c r="BB80" i="5" s="1"/>
  <c r="I124" i="7"/>
  <c r="I123" i="7" s="1"/>
  <c r="I163" i="7"/>
  <c r="H112" i="7"/>
  <c r="AY9" i="5" s="1"/>
  <c r="I85" i="7"/>
  <c r="I84" i="7" s="1"/>
  <c r="I4" i="7"/>
  <c r="I117" i="7"/>
  <c r="I87" i="7" s="1"/>
  <c r="I115" i="7"/>
  <c r="AY49" i="5" s="1"/>
  <c r="J5" i="7"/>
  <c r="E6" i="7"/>
  <c r="E32" i="7" s="1"/>
  <c r="AW6" i="5" s="1"/>
  <c r="F39" i="7"/>
  <c r="F7" i="7"/>
  <c r="G37" i="7"/>
  <c r="G7" i="7" s="1"/>
  <c r="P10" i="4"/>
  <c r="K27" i="4"/>
  <c r="K28" i="4" s="1"/>
  <c r="I25" i="4"/>
  <c r="J29" i="4"/>
  <c r="J13" i="4"/>
  <c r="I12" i="4"/>
  <c r="I8" i="4" s="1"/>
  <c r="I23" i="4" s="1"/>
  <c r="K24" i="4"/>
  <c r="L11" i="4"/>
  <c r="K9" i="4"/>
  <c r="L14" i="4"/>
  <c r="H193" i="7" l="1"/>
  <c r="BA48" i="5" s="1"/>
  <c r="H195" i="7"/>
  <c r="H197" i="7" s="1"/>
  <c r="BA47" i="5"/>
  <c r="G165" i="7"/>
  <c r="G164" i="7" s="1"/>
  <c r="G190" i="7" s="1"/>
  <c r="BA8" i="5" s="1"/>
  <c r="AZ97" i="5"/>
  <c r="BA97" i="5"/>
  <c r="J126" i="7"/>
  <c r="J125" i="7" s="1"/>
  <c r="J158" i="7"/>
  <c r="AZ50" i="5"/>
  <c r="K156" i="7"/>
  <c r="K154" i="7"/>
  <c r="L157" i="7"/>
  <c r="M157" i="7" s="1"/>
  <c r="N157" i="7" s="1"/>
  <c r="L77" i="7"/>
  <c r="L47" i="7" s="1"/>
  <c r="L46" i="7" s="1"/>
  <c r="L75" i="7"/>
  <c r="AX52" i="5" s="1"/>
  <c r="J79" i="7"/>
  <c r="J47" i="7"/>
  <c r="J46" i="7" s="1"/>
  <c r="J241" i="7"/>
  <c r="J240" i="7" s="1"/>
  <c r="J45" i="7"/>
  <c r="J44" i="7" s="1"/>
  <c r="K79" i="7"/>
  <c r="J271" i="7"/>
  <c r="BC50" i="5" s="1"/>
  <c r="J273" i="7"/>
  <c r="I243" i="7"/>
  <c r="I242" i="7" s="1"/>
  <c r="I268" i="7" s="1"/>
  <c r="BC10" i="5" s="1"/>
  <c r="I275" i="7"/>
  <c r="J236" i="7"/>
  <c r="J204" i="7"/>
  <c r="F203" i="7"/>
  <c r="F229" i="7" s="1"/>
  <c r="BB7" i="5" s="1"/>
  <c r="K234" i="7"/>
  <c r="K232" i="7"/>
  <c r="BB51" i="5" s="1"/>
  <c r="L205" i="7"/>
  <c r="BB81" i="5" s="1"/>
  <c r="I162" i="7"/>
  <c r="J202" i="7"/>
  <c r="J201" i="7" s="1"/>
  <c r="I151" i="7"/>
  <c r="AZ10" i="5" s="1"/>
  <c r="J124" i="7"/>
  <c r="J123" i="7" s="1"/>
  <c r="J163" i="7"/>
  <c r="I86" i="7"/>
  <c r="I112" i="7" s="1"/>
  <c r="AY10" i="5" s="1"/>
  <c r="J85" i="7"/>
  <c r="J84" i="7" s="1"/>
  <c r="J4" i="7"/>
  <c r="J117" i="7"/>
  <c r="J87" i="7" s="1"/>
  <c r="J86" i="7" s="1"/>
  <c r="J115" i="7"/>
  <c r="AY50" i="5" s="1"/>
  <c r="I119" i="7"/>
  <c r="K5" i="7"/>
  <c r="G6" i="7"/>
  <c r="G32" i="7" s="1"/>
  <c r="AW8" i="5" s="1"/>
  <c r="F6" i="7"/>
  <c r="F32" i="7" s="1"/>
  <c r="AW7" i="5" s="1"/>
  <c r="G35" i="7"/>
  <c r="AW47" i="5" s="1"/>
  <c r="Q10" i="4"/>
  <c r="L27" i="4"/>
  <c r="L28" i="4" s="1"/>
  <c r="J25" i="4"/>
  <c r="K29" i="4"/>
  <c r="K13" i="4"/>
  <c r="J12" i="4"/>
  <c r="J8" i="4" s="1"/>
  <c r="J23" i="4" s="1"/>
  <c r="L24" i="4"/>
  <c r="M11" i="4"/>
  <c r="L9" i="4"/>
  <c r="M14" i="4"/>
  <c r="I195" i="7" l="1"/>
  <c r="I197" i="7" s="1"/>
  <c r="I193" i="7"/>
  <c r="BA49" i="5" s="1"/>
  <c r="H165" i="7"/>
  <c r="H164" i="7" s="1"/>
  <c r="H190" i="7" s="1"/>
  <c r="BA9" i="5" s="1"/>
  <c r="J151" i="7"/>
  <c r="AZ11" i="5" s="1"/>
  <c r="AZ51" i="5"/>
  <c r="L156" i="7"/>
  <c r="L154" i="7"/>
  <c r="K126" i="7"/>
  <c r="K125" i="7" s="1"/>
  <c r="K158" i="7"/>
  <c r="M77" i="7"/>
  <c r="M47" i="7" s="1"/>
  <c r="M46" i="7" s="1"/>
  <c r="L79" i="7"/>
  <c r="M75" i="7"/>
  <c r="AX53" i="5" s="1"/>
  <c r="J72" i="7"/>
  <c r="AX11" i="5" s="1"/>
  <c r="H38" i="7"/>
  <c r="I38" i="7" s="1"/>
  <c r="J38" i="7" s="1"/>
  <c r="K38" i="7" s="1"/>
  <c r="L38" i="7" s="1"/>
  <c r="M38" i="7" s="1"/>
  <c r="N38" i="7" s="1"/>
  <c r="O38" i="7" s="1"/>
  <c r="P38" i="7" s="1"/>
  <c r="Q38" i="7" s="1"/>
  <c r="R38" i="7" s="1"/>
  <c r="S38" i="7" s="1"/>
  <c r="T38" i="7" s="1"/>
  <c r="U38" i="7" s="1"/>
  <c r="V38" i="7" s="1"/>
  <c r="W38" i="7" s="1"/>
  <c r="X38" i="7" s="1"/>
  <c r="Y38" i="7" s="1"/>
  <c r="Z38" i="7" s="1"/>
  <c r="AA38" i="7" s="1"/>
  <c r="K241" i="7"/>
  <c r="K240" i="7" s="1"/>
  <c r="K45" i="7"/>
  <c r="K44" i="7" s="1"/>
  <c r="K72" i="7" s="1"/>
  <c r="AX12" i="5" s="1"/>
  <c r="J275" i="7"/>
  <c r="J243" i="7"/>
  <c r="J242" i="7" s="1"/>
  <c r="J268" i="7" s="1"/>
  <c r="BC11" i="5" s="1"/>
  <c r="K273" i="7"/>
  <c r="K271" i="7"/>
  <c r="BC51" i="5" s="1"/>
  <c r="K236" i="7"/>
  <c r="K204" i="7"/>
  <c r="H203" i="7"/>
  <c r="H229" i="7" s="1"/>
  <c r="BB9" i="5" s="1"/>
  <c r="G203" i="7"/>
  <c r="G229" i="7" s="1"/>
  <c r="BB8" i="5" s="1"/>
  <c r="L234" i="7"/>
  <c r="L232" i="7"/>
  <c r="BB52" i="5" s="1"/>
  <c r="O157" i="7"/>
  <c r="J162" i="7"/>
  <c r="K202" i="7"/>
  <c r="K201" i="7" s="1"/>
  <c r="K124" i="7"/>
  <c r="K123" i="7" s="1"/>
  <c r="K163" i="7"/>
  <c r="J112" i="7"/>
  <c r="AY11" i="5" s="1"/>
  <c r="K85" i="7"/>
  <c r="K84" i="7" s="1"/>
  <c r="K4" i="7"/>
  <c r="K117" i="7"/>
  <c r="K87" i="7" s="1"/>
  <c r="K86" i="7" s="1"/>
  <c r="K115" i="7"/>
  <c r="AY51" i="5" s="1"/>
  <c r="J119" i="7"/>
  <c r="L5" i="7"/>
  <c r="G39" i="7"/>
  <c r="H37" i="7"/>
  <c r="M27" i="4"/>
  <c r="M28" i="4" s="1"/>
  <c r="R10" i="4"/>
  <c r="K25" i="4"/>
  <c r="L29" i="4"/>
  <c r="M24" i="4"/>
  <c r="L13" i="4"/>
  <c r="K12" i="4"/>
  <c r="K8" i="4" s="1"/>
  <c r="K23" i="4" s="1"/>
  <c r="N11" i="4"/>
  <c r="M9" i="4"/>
  <c r="N14" i="4"/>
  <c r="I165" i="7" l="1"/>
  <c r="I164" i="7" s="1"/>
  <c r="I190" i="7" s="1"/>
  <c r="BA10" i="5" s="1"/>
  <c r="J195" i="7"/>
  <c r="J197" i="7" s="1"/>
  <c r="J193" i="7"/>
  <c r="K193" i="7" s="1"/>
  <c r="BA51" i="5" s="1"/>
  <c r="K151" i="7"/>
  <c r="AZ12" i="5" s="1"/>
  <c r="L158" i="7"/>
  <c r="L126" i="7"/>
  <c r="L125" i="7" s="1"/>
  <c r="AZ52" i="5"/>
  <c r="M156" i="7"/>
  <c r="M154" i="7"/>
  <c r="M79" i="7"/>
  <c r="N75" i="7"/>
  <c r="AX54" i="5" s="1"/>
  <c r="N77" i="7"/>
  <c r="N47" i="7" s="1"/>
  <c r="N46" i="7" s="1"/>
  <c r="H35" i="7"/>
  <c r="AW48" i="5" s="1"/>
  <c r="L241" i="7"/>
  <c r="L240" i="7" s="1"/>
  <c r="L45" i="7"/>
  <c r="L44" i="7" s="1"/>
  <c r="L72" i="7" s="1"/>
  <c r="AX13" i="5" s="1"/>
  <c r="K275" i="7"/>
  <c r="K243" i="7"/>
  <c r="K242" i="7" s="1"/>
  <c r="K268" i="7" s="1"/>
  <c r="BC12" i="5" s="1"/>
  <c r="L273" i="7"/>
  <c r="L271" i="7"/>
  <c r="BC52" i="5" s="1"/>
  <c r="L236" i="7"/>
  <c r="L204" i="7"/>
  <c r="M234" i="7"/>
  <c r="M232" i="7"/>
  <c r="BB53" i="5" s="1"/>
  <c r="P157" i="7"/>
  <c r="M205" i="7"/>
  <c r="BB82" i="5" s="1"/>
  <c r="L202" i="7"/>
  <c r="L201" i="7" s="1"/>
  <c r="K162" i="7"/>
  <c r="L124" i="7"/>
  <c r="L123" i="7" s="1"/>
  <c r="L163" i="7"/>
  <c r="K112" i="7"/>
  <c r="AY12" i="5" s="1"/>
  <c r="L85" i="7"/>
  <c r="L84" i="7" s="1"/>
  <c r="L4" i="7"/>
  <c r="L115" i="7"/>
  <c r="AY52" i="5" s="1"/>
  <c r="L117" i="7"/>
  <c r="L87" i="7" s="1"/>
  <c r="K119" i="7"/>
  <c r="M5" i="7"/>
  <c r="H39" i="7"/>
  <c r="H7" i="7"/>
  <c r="S10" i="4"/>
  <c r="L25" i="4"/>
  <c r="M29" i="4"/>
  <c r="M13" i="4"/>
  <c r="L12" i="4"/>
  <c r="L8" i="4" s="1"/>
  <c r="L23" i="4" s="1"/>
  <c r="O11" i="4"/>
  <c r="N9" i="4"/>
  <c r="O14" i="4"/>
  <c r="BA50" i="5" l="1"/>
  <c r="K195" i="7"/>
  <c r="K197" i="7" s="1"/>
  <c r="J165" i="7"/>
  <c r="J164" i="7" s="1"/>
  <c r="J190" i="7" s="1"/>
  <c r="BA11" i="5" s="1"/>
  <c r="L193" i="7"/>
  <c r="BA52" i="5" s="1"/>
  <c r="L195" i="7"/>
  <c r="L197" i="7" s="1"/>
  <c r="L151" i="7"/>
  <c r="AZ13" i="5" s="1"/>
  <c r="M126" i="7"/>
  <c r="M125" i="7" s="1"/>
  <c r="M158" i="7"/>
  <c r="AZ53" i="5"/>
  <c r="N154" i="7"/>
  <c r="N156" i="7"/>
  <c r="O75" i="7"/>
  <c r="AX55" i="5" s="1"/>
  <c r="O77" i="7"/>
  <c r="O47" i="7" s="1"/>
  <c r="O46" i="7" s="1"/>
  <c r="N79" i="7"/>
  <c r="I37" i="7"/>
  <c r="I7" i="7" s="1"/>
  <c r="I35" i="7"/>
  <c r="AW49" i="5" s="1"/>
  <c r="M241" i="7"/>
  <c r="M240" i="7" s="1"/>
  <c r="M45" i="7"/>
  <c r="M44" i="7" s="1"/>
  <c r="M72" i="7" s="1"/>
  <c r="AX14" i="5" s="1"/>
  <c r="L243" i="7"/>
  <c r="L242" i="7" s="1"/>
  <c r="L268" i="7" s="1"/>
  <c r="BC13" i="5" s="1"/>
  <c r="L275" i="7"/>
  <c r="M273" i="7"/>
  <c r="M271" i="7"/>
  <c r="BC53" i="5" s="1"/>
  <c r="M236" i="7"/>
  <c r="M204" i="7"/>
  <c r="N234" i="7"/>
  <c r="N232" i="7"/>
  <c r="BB54" i="5" s="1"/>
  <c r="Q157" i="7"/>
  <c r="N205" i="7"/>
  <c r="BB83" i="5" s="1"/>
  <c r="M202" i="7"/>
  <c r="M201" i="7" s="1"/>
  <c r="L162" i="7"/>
  <c r="M124" i="7"/>
  <c r="M123" i="7" s="1"/>
  <c r="M163" i="7"/>
  <c r="L86" i="7"/>
  <c r="L112" i="7" s="1"/>
  <c r="AY13" i="5" s="1"/>
  <c r="M85" i="7"/>
  <c r="M84" i="7" s="1"/>
  <c r="M4" i="7"/>
  <c r="L119" i="7"/>
  <c r="M115" i="7"/>
  <c r="AY53" i="5" s="1"/>
  <c r="M117" i="7"/>
  <c r="M87" i="7" s="1"/>
  <c r="M86" i="7" s="1"/>
  <c r="H6" i="7"/>
  <c r="H32" i="7" s="1"/>
  <c r="AW9" i="5" s="1"/>
  <c r="T10" i="4"/>
  <c r="O27" i="4"/>
  <c r="O28" i="4" s="1"/>
  <c r="M25" i="4"/>
  <c r="N13" i="4"/>
  <c r="M12" i="4"/>
  <c r="M8" i="4" s="1"/>
  <c r="M23" i="4" s="1"/>
  <c r="O24" i="4"/>
  <c r="N6" i="4"/>
  <c r="N3" i="4" s="1"/>
  <c r="P11" i="4"/>
  <c r="O9" i="4"/>
  <c r="P14" i="4"/>
  <c r="P27" i="4" s="1"/>
  <c r="K165" i="7" l="1"/>
  <c r="K164" i="7" s="1"/>
  <c r="K190" i="7" s="1"/>
  <c r="BA12" i="5" s="1"/>
  <c r="M193" i="7"/>
  <c r="BA53" i="5" s="1"/>
  <c r="M195" i="7"/>
  <c r="M197" i="7" s="1"/>
  <c r="L165" i="7"/>
  <c r="L164" i="7" s="1"/>
  <c r="L190" i="7" s="1"/>
  <c r="BA13" i="5" s="1"/>
  <c r="M151" i="7"/>
  <c r="AZ14" i="5" s="1"/>
  <c r="AZ54" i="5"/>
  <c r="O156" i="7"/>
  <c r="O154" i="7"/>
  <c r="N126" i="7"/>
  <c r="N125" i="7" s="1"/>
  <c r="N158" i="7"/>
  <c r="P77" i="7"/>
  <c r="P79" i="7" s="1"/>
  <c r="P75" i="7"/>
  <c r="AX56" i="5" s="1"/>
  <c r="O79" i="7"/>
  <c r="I39" i="7"/>
  <c r="J35" i="7"/>
  <c r="AW50" i="5" s="1"/>
  <c r="J37" i="7"/>
  <c r="J39" i="7" s="1"/>
  <c r="M275" i="7"/>
  <c r="M243" i="7"/>
  <c r="M242" i="7" s="1"/>
  <c r="M268" i="7" s="1"/>
  <c r="BC14" i="5" s="1"/>
  <c r="N273" i="7"/>
  <c r="N271" i="7"/>
  <c r="BC54" i="5" s="1"/>
  <c r="N236" i="7"/>
  <c r="N204" i="7"/>
  <c r="I203" i="7"/>
  <c r="I229" i="7" s="1"/>
  <c r="BB10" i="5" s="1"/>
  <c r="O234" i="7"/>
  <c r="O232" i="7"/>
  <c r="BB55" i="5" s="1"/>
  <c r="O205" i="7"/>
  <c r="BB84" i="5" s="1"/>
  <c r="R157" i="7"/>
  <c r="M162" i="7"/>
  <c r="M112" i="7"/>
  <c r="AY14" i="5" s="1"/>
  <c r="N115" i="7"/>
  <c r="AY54" i="5" s="1"/>
  <c r="N117" i="7"/>
  <c r="N87" i="7" s="1"/>
  <c r="M119" i="7"/>
  <c r="O5" i="7"/>
  <c r="I6" i="7"/>
  <c r="I32" i="7" s="1"/>
  <c r="AW10" i="5" s="1"/>
  <c r="N24" i="4"/>
  <c r="N27" i="4"/>
  <c r="U10" i="4"/>
  <c r="O29" i="4"/>
  <c r="P28" i="4"/>
  <c r="N25" i="4"/>
  <c r="O13" i="4"/>
  <c r="N12" i="4"/>
  <c r="N8" i="4" s="1"/>
  <c r="N23" i="4" s="1"/>
  <c r="P24" i="4"/>
  <c r="Q11" i="4"/>
  <c r="P9" i="4"/>
  <c r="Q14" i="4"/>
  <c r="N195" i="7" l="1"/>
  <c r="N165" i="7" s="1"/>
  <c r="N164" i="7" s="1"/>
  <c r="N193" i="7"/>
  <c r="BA54" i="5" s="1"/>
  <c r="M165" i="7"/>
  <c r="M164" i="7" s="1"/>
  <c r="M190" i="7" s="1"/>
  <c r="BA14" i="5" s="1"/>
  <c r="AZ55" i="5"/>
  <c r="P156" i="7"/>
  <c r="P154" i="7"/>
  <c r="O126" i="7"/>
  <c r="O125" i="7" s="1"/>
  <c r="O158" i="7"/>
  <c r="Q77" i="7"/>
  <c r="Q79" i="7" s="1"/>
  <c r="P47" i="7"/>
  <c r="P46" i="7" s="1"/>
  <c r="Q75" i="7"/>
  <c r="AX57" i="5" s="1"/>
  <c r="K35" i="7"/>
  <c r="AW51" i="5" s="1"/>
  <c r="K37" i="7"/>
  <c r="K39" i="7" s="1"/>
  <c r="J7" i="7"/>
  <c r="J6" i="7" s="1"/>
  <c r="J32" i="7" s="1"/>
  <c r="AW11" i="5" s="1"/>
  <c r="O241" i="7"/>
  <c r="O240" i="7" s="1"/>
  <c r="O45" i="7"/>
  <c r="O44" i="7" s="1"/>
  <c r="O72" i="7" s="1"/>
  <c r="AX16" i="5" s="1"/>
  <c r="N275" i="7"/>
  <c r="N243" i="7"/>
  <c r="N242" i="7" s="1"/>
  <c r="O273" i="7"/>
  <c r="O271" i="7"/>
  <c r="BC55" i="5" s="1"/>
  <c r="O236" i="7"/>
  <c r="O204" i="7"/>
  <c r="J203" i="7"/>
  <c r="J229" i="7" s="1"/>
  <c r="BB11" i="5" s="1"/>
  <c r="P234" i="7"/>
  <c r="P232" i="7"/>
  <c r="BB56" i="5" s="1"/>
  <c r="S157" i="7"/>
  <c r="P205" i="7"/>
  <c r="BB85" i="5" s="1"/>
  <c r="O202" i="7"/>
  <c r="O201" i="7" s="1"/>
  <c r="O124" i="7"/>
  <c r="O123" i="7" s="1"/>
  <c r="O163" i="7"/>
  <c r="O85" i="7"/>
  <c r="O84" i="7" s="1"/>
  <c r="O4" i="7"/>
  <c r="N119" i="7"/>
  <c r="O117" i="7"/>
  <c r="O87" i="7" s="1"/>
  <c r="O86" i="7" s="1"/>
  <c r="O115" i="7"/>
  <c r="AY55" i="5" s="1"/>
  <c r="P5" i="7"/>
  <c r="N28" i="4"/>
  <c r="V10" i="4"/>
  <c r="Q27" i="4"/>
  <c r="Q28" i="4" s="1"/>
  <c r="O25" i="4"/>
  <c r="P29" i="4"/>
  <c r="P13" i="4"/>
  <c r="O12" i="4"/>
  <c r="O8" i="4" s="1"/>
  <c r="O23" i="4" s="1"/>
  <c r="Q24" i="4"/>
  <c r="R11" i="4"/>
  <c r="Q9" i="4"/>
  <c r="R14" i="4"/>
  <c r="R27" i="4" s="1"/>
  <c r="N197" i="7" l="1"/>
  <c r="O195" i="7"/>
  <c r="O165" i="7" s="1"/>
  <c r="O164" i="7" s="1"/>
  <c r="O193" i="7"/>
  <c r="BA55" i="5" s="1"/>
  <c r="O151" i="7"/>
  <c r="AZ16" i="5" s="1"/>
  <c r="AZ56" i="5"/>
  <c r="Q156" i="7"/>
  <c r="Q154" i="7"/>
  <c r="P126" i="7"/>
  <c r="P125" i="7" s="1"/>
  <c r="P158" i="7"/>
  <c r="Q47" i="7"/>
  <c r="Q46" i="7" s="1"/>
  <c r="R75" i="7"/>
  <c r="AX58" i="5" s="1"/>
  <c r="R77" i="7"/>
  <c r="R47" i="7" s="1"/>
  <c r="R46" i="7" s="1"/>
  <c r="L35" i="7"/>
  <c r="AW52" i="5" s="1"/>
  <c r="L37" i="7"/>
  <c r="L39" i="7" s="1"/>
  <c r="K7" i="7"/>
  <c r="K6" i="7" s="1"/>
  <c r="K32" i="7" s="1"/>
  <c r="AW12" i="5" s="1"/>
  <c r="P241" i="7"/>
  <c r="P240" i="7" s="1"/>
  <c r="P45" i="7"/>
  <c r="P44" i="7" s="1"/>
  <c r="P72" i="7" s="1"/>
  <c r="AX17" i="5" s="1"/>
  <c r="P271" i="7"/>
  <c r="BC56" i="5" s="1"/>
  <c r="P273" i="7"/>
  <c r="O275" i="7"/>
  <c r="O243" i="7"/>
  <c r="O242" i="7" s="1"/>
  <c r="O268" i="7" s="1"/>
  <c r="BC16" i="5" s="1"/>
  <c r="P236" i="7"/>
  <c r="P204" i="7"/>
  <c r="K203" i="7"/>
  <c r="K229" i="7" s="1"/>
  <c r="BB12" i="5" s="1"/>
  <c r="Q232" i="7"/>
  <c r="BB57" i="5" s="1"/>
  <c r="Q234" i="7"/>
  <c r="Q205" i="7"/>
  <c r="BB86" i="5" s="1"/>
  <c r="T157" i="7"/>
  <c r="P202" i="7"/>
  <c r="P201" i="7" s="1"/>
  <c r="O162" i="7"/>
  <c r="P124" i="7"/>
  <c r="P123" i="7" s="1"/>
  <c r="P163" i="7"/>
  <c r="O112" i="7"/>
  <c r="AY16" i="5" s="1"/>
  <c r="P85" i="7"/>
  <c r="P84" i="7" s="1"/>
  <c r="P4" i="7"/>
  <c r="P117" i="7"/>
  <c r="P87" i="7" s="1"/>
  <c r="P86" i="7" s="1"/>
  <c r="P115" i="7"/>
  <c r="AY56" i="5" s="1"/>
  <c r="O119" i="7"/>
  <c r="Q5" i="7"/>
  <c r="N5" i="7"/>
  <c r="N29" i="4"/>
  <c r="W10" i="4"/>
  <c r="P25" i="4"/>
  <c r="R28" i="4"/>
  <c r="Q29" i="4"/>
  <c r="Q13" i="4"/>
  <c r="P12" i="4"/>
  <c r="P8" i="4" s="1"/>
  <c r="P23" i="4" s="1"/>
  <c r="R24" i="4"/>
  <c r="S11" i="4"/>
  <c r="R9" i="4"/>
  <c r="S14" i="4"/>
  <c r="O197" i="7" l="1"/>
  <c r="P195" i="7"/>
  <c r="P197" i="7" s="1"/>
  <c r="P193" i="7"/>
  <c r="BA56" i="5" s="1"/>
  <c r="P151" i="7"/>
  <c r="AZ17" i="5" s="1"/>
  <c r="AZ57" i="5"/>
  <c r="R154" i="7"/>
  <c r="R156" i="7"/>
  <c r="Q126" i="7"/>
  <c r="Q125" i="7" s="1"/>
  <c r="Q158" i="7"/>
  <c r="S75" i="7"/>
  <c r="AX59" i="5" s="1"/>
  <c r="S77" i="7"/>
  <c r="S47" i="7" s="1"/>
  <c r="S46" i="7" s="1"/>
  <c r="R79" i="7"/>
  <c r="M35" i="7"/>
  <c r="AW53" i="5" s="1"/>
  <c r="M37" i="7"/>
  <c r="M7" i="7" s="1"/>
  <c r="L7" i="7"/>
  <c r="L6" i="7" s="1"/>
  <c r="L32" i="7" s="1"/>
  <c r="AW13" i="5" s="1"/>
  <c r="Q241" i="7"/>
  <c r="Q240" i="7" s="1"/>
  <c r="Q45" i="7"/>
  <c r="Q44" i="7" s="1"/>
  <c r="Q72" i="7" s="1"/>
  <c r="AX18" i="5" s="1"/>
  <c r="N241" i="7"/>
  <c r="N240" i="7" s="1"/>
  <c r="N268" i="7" s="1"/>
  <c r="BC15" i="5" s="1"/>
  <c r="N45" i="7"/>
  <c r="N44" i="7" s="1"/>
  <c r="N72" i="7" s="1"/>
  <c r="AX15" i="5" s="1"/>
  <c r="P275" i="7"/>
  <c r="P243" i="7"/>
  <c r="P242" i="7" s="1"/>
  <c r="P268" i="7" s="1"/>
  <c r="BC17" i="5" s="1"/>
  <c r="Q271" i="7"/>
  <c r="BC57" i="5" s="1"/>
  <c r="Q273" i="7"/>
  <c r="Q236" i="7"/>
  <c r="Q204" i="7"/>
  <c r="L203" i="7"/>
  <c r="L229" i="7" s="1"/>
  <c r="BB13" i="5" s="1"/>
  <c r="R232" i="7"/>
  <c r="BB58" i="5" s="1"/>
  <c r="R234" i="7"/>
  <c r="R205" i="7"/>
  <c r="BB87" i="5" s="1"/>
  <c r="U157" i="7"/>
  <c r="O190" i="7"/>
  <c r="BA16" i="5" s="1"/>
  <c r="N202" i="7"/>
  <c r="N201" i="7" s="1"/>
  <c r="Q202" i="7"/>
  <c r="Q201" i="7" s="1"/>
  <c r="P162" i="7"/>
  <c r="Q124" i="7"/>
  <c r="Q123" i="7" s="1"/>
  <c r="Q163" i="7"/>
  <c r="N124" i="7"/>
  <c r="N123" i="7" s="1"/>
  <c r="N151" i="7" s="1"/>
  <c r="AZ15" i="5" s="1"/>
  <c r="N163" i="7"/>
  <c r="P112" i="7"/>
  <c r="AY17" i="5" s="1"/>
  <c r="N85" i="7"/>
  <c r="N84" i="7" s="1"/>
  <c r="N86" i="7"/>
  <c r="Q85" i="7"/>
  <c r="Q84" i="7" s="1"/>
  <c r="Q4" i="7"/>
  <c r="N4" i="7"/>
  <c r="Q115" i="7"/>
  <c r="AY57" i="5" s="1"/>
  <c r="Q117" i="7"/>
  <c r="Q87" i="7" s="1"/>
  <c r="P119" i="7"/>
  <c r="R5" i="7"/>
  <c r="S27" i="4"/>
  <c r="S28" i="4" s="1"/>
  <c r="X10" i="4"/>
  <c r="Q25" i="4"/>
  <c r="R29" i="4"/>
  <c r="R13" i="4"/>
  <c r="Q12" i="4"/>
  <c r="Q8" i="4" s="1"/>
  <c r="Q23" i="4" s="1"/>
  <c r="S24" i="4"/>
  <c r="T11" i="4"/>
  <c r="S9" i="4"/>
  <c r="T14" i="4"/>
  <c r="Q193" i="7" l="1"/>
  <c r="BA57" i="5" s="1"/>
  <c r="P165" i="7"/>
  <c r="P164" i="7" s="1"/>
  <c r="P190" i="7" s="1"/>
  <c r="BA17" i="5" s="1"/>
  <c r="Q195" i="7"/>
  <c r="Q165" i="7" s="1"/>
  <c r="Q164" i="7" s="1"/>
  <c r="Q151" i="7"/>
  <c r="AZ18" i="5" s="1"/>
  <c r="R126" i="7"/>
  <c r="R125" i="7" s="1"/>
  <c r="R158" i="7"/>
  <c r="AZ58" i="5"/>
  <c r="S156" i="7"/>
  <c r="S154" i="7"/>
  <c r="T75" i="7"/>
  <c r="AX60" i="5" s="1"/>
  <c r="T77" i="7"/>
  <c r="T47" i="7" s="1"/>
  <c r="T46" i="7" s="1"/>
  <c r="S79" i="7"/>
  <c r="M39" i="7"/>
  <c r="N35" i="7"/>
  <c r="AW54" i="5" s="1"/>
  <c r="N37" i="7"/>
  <c r="N7" i="7" s="1"/>
  <c r="R241" i="7"/>
  <c r="R240" i="7" s="1"/>
  <c r="R45" i="7"/>
  <c r="R44" i="7" s="1"/>
  <c r="R72" i="7" s="1"/>
  <c r="AX19" i="5" s="1"/>
  <c r="Q275" i="7"/>
  <c r="Q243" i="7"/>
  <c r="Q242" i="7" s="1"/>
  <c r="Q268" i="7" s="1"/>
  <c r="BC18" i="5" s="1"/>
  <c r="R271" i="7"/>
  <c r="BC58" i="5" s="1"/>
  <c r="R273" i="7"/>
  <c r="R236" i="7"/>
  <c r="R204" i="7"/>
  <c r="N203" i="7"/>
  <c r="N229" i="7" s="1"/>
  <c r="BB15" i="5" s="1"/>
  <c r="M203" i="7"/>
  <c r="M229" i="7" s="1"/>
  <c r="BB14" i="5" s="1"/>
  <c r="S232" i="7"/>
  <c r="BB59" i="5" s="1"/>
  <c r="S234" i="7"/>
  <c r="S205" i="7"/>
  <c r="BB88" i="5" s="1"/>
  <c r="V157" i="7"/>
  <c r="N162" i="7"/>
  <c r="Q162" i="7"/>
  <c r="R202" i="7"/>
  <c r="R201" i="7" s="1"/>
  <c r="R124" i="7"/>
  <c r="R123" i="7" s="1"/>
  <c r="R163" i="7"/>
  <c r="Q86" i="7"/>
  <c r="Q112" i="7" s="1"/>
  <c r="AY18" i="5" s="1"/>
  <c r="N112" i="7"/>
  <c r="AY15" i="5" s="1"/>
  <c r="R85" i="7"/>
  <c r="R84" i="7" s="1"/>
  <c r="R4" i="7"/>
  <c r="Q119" i="7"/>
  <c r="R117" i="7"/>
  <c r="R87" i="7" s="1"/>
  <c r="R86" i="7" s="1"/>
  <c r="R115" i="7"/>
  <c r="S5" i="7"/>
  <c r="M6" i="7"/>
  <c r="M32" i="7" s="1"/>
  <c r="AW14" i="5" s="1"/>
  <c r="Y10" i="4"/>
  <c r="T27" i="4"/>
  <c r="T28" i="4" s="1"/>
  <c r="R25" i="4"/>
  <c r="S29" i="4"/>
  <c r="S13" i="4"/>
  <c r="R12" i="4"/>
  <c r="R8" i="4" s="1"/>
  <c r="R23" i="4" s="1"/>
  <c r="T24" i="4"/>
  <c r="U11" i="4"/>
  <c r="T9" i="4"/>
  <c r="U14" i="4"/>
  <c r="U27" i="4" s="1"/>
  <c r="Q197" i="7" l="1"/>
  <c r="R193" i="7"/>
  <c r="BA58" i="5" s="1"/>
  <c r="R195" i="7"/>
  <c r="R165" i="7" s="1"/>
  <c r="R164" i="7" s="1"/>
  <c r="R151" i="7"/>
  <c r="AZ19" i="5" s="1"/>
  <c r="S126" i="7"/>
  <c r="S125" i="7" s="1"/>
  <c r="S158" i="7"/>
  <c r="AZ59" i="5"/>
  <c r="T156" i="7"/>
  <c r="T154" i="7"/>
  <c r="AY58" i="5"/>
  <c r="U75" i="7"/>
  <c r="AX61" i="5" s="1"/>
  <c r="U77" i="7"/>
  <c r="U47" i="7" s="1"/>
  <c r="U46" i="7" s="1"/>
  <c r="T79" i="7"/>
  <c r="N39" i="7"/>
  <c r="O35" i="7"/>
  <c r="AW55" i="5" s="1"/>
  <c r="O37" i="7"/>
  <c r="O39" i="7" s="1"/>
  <c r="S241" i="7"/>
  <c r="S240" i="7" s="1"/>
  <c r="S45" i="7"/>
  <c r="S44" i="7" s="1"/>
  <c r="S72" i="7" s="1"/>
  <c r="AX20" i="5" s="1"/>
  <c r="R275" i="7"/>
  <c r="R243" i="7"/>
  <c r="R242" i="7" s="1"/>
  <c r="R268" i="7" s="1"/>
  <c r="BC19" i="5" s="1"/>
  <c r="S273" i="7"/>
  <c r="S271" i="7"/>
  <c r="BC59" i="5" s="1"/>
  <c r="S236" i="7"/>
  <c r="S204" i="7"/>
  <c r="T234" i="7"/>
  <c r="T232" i="7"/>
  <c r="BB60" i="5" s="1"/>
  <c r="T205" i="7"/>
  <c r="BB89" i="5" s="1"/>
  <c r="W157" i="7"/>
  <c r="Q190" i="7"/>
  <c r="BA18" i="5" s="1"/>
  <c r="S202" i="7"/>
  <c r="S201" i="7" s="1"/>
  <c r="R162" i="7"/>
  <c r="N190" i="7"/>
  <c r="BA15" i="5" s="1"/>
  <c r="S124" i="7"/>
  <c r="S123" i="7" s="1"/>
  <c r="S163" i="7"/>
  <c r="R112" i="7"/>
  <c r="AY19" i="5" s="1"/>
  <c r="S85" i="7"/>
  <c r="S84" i="7" s="1"/>
  <c r="S4" i="7"/>
  <c r="S115" i="7"/>
  <c r="AY59" i="5" s="1"/>
  <c r="S117" i="7"/>
  <c r="S87" i="7" s="1"/>
  <c r="S86" i="7" s="1"/>
  <c r="R119" i="7"/>
  <c r="T5" i="7"/>
  <c r="N6" i="7"/>
  <c r="N32" i="7" s="1"/>
  <c r="AW15" i="5" s="1"/>
  <c r="Z10" i="4"/>
  <c r="S25" i="4"/>
  <c r="U28" i="4"/>
  <c r="T29" i="4"/>
  <c r="T13" i="4"/>
  <c r="S12" i="4"/>
  <c r="S8" i="4" s="1"/>
  <c r="S23" i="4" s="1"/>
  <c r="U24" i="4"/>
  <c r="V11" i="4"/>
  <c r="U9" i="4"/>
  <c r="V14" i="4"/>
  <c r="R197" i="7" l="1"/>
  <c r="S195" i="7"/>
  <c r="S165" i="7" s="1"/>
  <c r="S164" i="7" s="1"/>
  <c r="S193" i="7"/>
  <c r="BA59" i="5" s="1"/>
  <c r="S151" i="7"/>
  <c r="AZ20" i="5" s="1"/>
  <c r="AZ60" i="5"/>
  <c r="U156" i="7"/>
  <c r="U154" i="7"/>
  <c r="T126" i="7"/>
  <c r="T125" i="7" s="1"/>
  <c r="T158" i="7"/>
  <c r="U79" i="7"/>
  <c r="V77" i="7"/>
  <c r="V79" i="7" s="1"/>
  <c r="V75" i="7"/>
  <c r="AX62" i="5" s="1"/>
  <c r="P35" i="7"/>
  <c r="AW56" i="5" s="1"/>
  <c r="P37" i="7"/>
  <c r="P39" i="7" s="1"/>
  <c r="O7" i="7"/>
  <c r="O6" i="7" s="1"/>
  <c r="O32" i="7" s="1"/>
  <c r="AW16" i="5" s="1"/>
  <c r="T241" i="7"/>
  <c r="T240" i="7" s="1"/>
  <c r="T45" i="7"/>
  <c r="T44" i="7" s="1"/>
  <c r="T72" i="7" s="1"/>
  <c r="AX21" i="5" s="1"/>
  <c r="T273" i="7"/>
  <c r="T271" i="7"/>
  <c r="BC60" i="5" s="1"/>
  <c r="S243" i="7"/>
  <c r="S242" i="7" s="1"/>
  <c r="S268" i="7" s="1"/>
  <c r="BC20" i="5" s="1"/>
  <c r="S275" i="7"/>
  <c r="T236" i="7"/>
  <c r="T204" i="7"/>
  <c r="O203" i="7"/>
  <c r="O229" i="7" s="1"/>
  <c r="BB16" i="5" s="1"/>
  <c r="U234" i="7"/>
  <c r="U232" i="7"/>
  <c r="BB61" i="5" s="1"/>
  <c r="U205" i="7"/>
  <c r="BB90" i="5" s="1"/>
  <c r="X157" i="7"/>
  <c r="R190" i="7"/>
  <c r="BA19" i="5" s="1"/>
  <c r="T202" i="7"/>
  <c r="T201" i="7" s="1"/>
  <c r="S162" i="7"/>
  <c r="T124" i="7"/>
  <c r="T123" i="7" s="1"/>
  <c r="T163" i="7"/>
  <c r="S112" i="7"/>
  <c r="AY20" i="5" s="1"/>
  <c r="T85" i="7"/>
  <c r="T84" i="7" s="1"/>
  <c r="T4" i="7"/>
  <c r="S119" i="7"/>
  <c r="T117" i="7"/>
  <c r="T87" i="7" s="1"/>
  <c r="T86" i="7" s="1"/>
  <c r="T115" i="7"/>
  <c r="AY60" i="5" s="1"/>
  <c r="U5" i="7"/>
  <c r="V27" i="4"/>
  <c r="V28" i="4" s="1"/>
  <c r="T25" i="4"/>
  <c r="U29" i="4"/>
  <c r="U13" i="4"/>
  <c r="T12" i="4"/>
  <c r="T8" i="4" s="1"/>
  <c r="T23" i="4" s="1"/>
  <c r="V24" i="4"/>
  <c r="W11" i="4"/>
  <c r="V9" i="4"/>
  <c r="W14" i="4"/>
  <c r="T195" i="7" l="1"/>
  <c r="T197" i="7" s="1"/>
  <c r="S197" i="7"/>
  <c r="T193" i="7"/>
  <c r="BA60" i="5" s="1"/>
  <c r="T151" i="7"/>
  <c r="AZ21" i="5" s="1"/>
  <c r="AZ61" i="5"/>
  <c r="V156" i="7"/>
  <c r="V154" i="7"/>
  <c r="U126" i="7"/>
  <c r="U125" i="7" s="1"/>
  <c r="U158" i="7"/>
  <c r="W77" i="7"/>
  <c r="W79" i="7" s="1"/>
  <c r="V47" i="7"/>
  <c r="V46" i="7" s="1"/>
  <c r="W75" i="7"/>
  <c r="AX63" i="5" s="1"/>
  <c r="Q37" i="7"/>
  <c r="Q39" i="7" s="1"/>
  <c r="Q35" i="7"/>
  <c r="AW57" i="5" s="1"/>
  <c r="P7" i="7"/>
  <c r="P6" i="7" s="1"/>
  <c r="P32" i="7" s="1"/>
  <c r="AW17" i="5" s="1"/>
  <c r="U241" i="7"/>
  <c r="U240" i="7" s="1"/>
  <c r="U45" i="7"/>
  <c r="U44" i="7" s="1"/>
  <c r="U72" i="7" s="1"/>
  <c r="AX22" i="5" s="1"/>
  <c r="U273" i="7"/>
  <c r="U271" i="7"/>
  <c r="BC61" i="5" s="1"/>
  <c r="T275" i="7"/>
  <c r="T243" i="7"/>
  <c r="T242" i="7" s="1"/>
  <c r="T268" i="7" s="1"/>
  <c r="BC21" i="5" s="1"/>
  <c r="U236" i="7"/>
  <c r="U204" i="7"/>
  <c r="P203" i="7"/>
  <c r="P229" i="7" s="1"/>
  <c r="BB17" i="5" s="1"/>
  <c r="V234" i="7"/>
  <c r="V232" i="7"/>
  <c r="BB62" i="5" s="1"/>
  <c r="V205" i="7"/>
  <c r="BB91" i="5" s="1"/>
  <c r="Y157" i="7"/>
  <c r="T162" i="7"/>
  <c r="U202" i="7"/>
  <c r="U201" i="7" s="1"/>
  <c r="S190" i="7"/>
  <c r="BA20" i="5" s="1"/>
  <c r="U124" i="7"/>
  <c r="U123" i="7" s="1"/>
  <c r="U163" i="7"/>
  <c r="T112" i="7"/>
  <c r="AY21" i="5" s="1"/>
  <c r="U85" i="7"/>
  <c r="U84" i="7" s="1"/>
  <c r="U4" i="7"/>
  <c r="U117" i="7"/>
  <c r="U87" i="7" s="1"/>
  <c r="U86" i="7" s="1"/>
  <c r="U115" i="7"/>
  <c r="AY61" i="5" s="1"/>
  <c r="T119" i="7"/>
  <c r="V5" i="7"/>
  <c r="W27" i="4"/>
  <c r="W28" i="4" s="1"/>
  <c r="U25" i="4"/>
  <c r="V29" i="4"/>
  <c r="V13" i="4"/>
  <c r="U12" i="4"/>
  <c r="U8" i="4" s="1"/>
  <c r="U23" i="4" s="1"/>
  <c r="W24" i="4"/>
  <c r="X11" i="4"/>
  <c r="W9" i="4"/>
  <c r="X14" i="4"/>
  <c r="T165" i="7" l="1"/>
  <c r="T164" i="7" s="1"/>
  <c r="T190" i="7" s="1"/>
  <c r="BA21" i="5" s="1"/>
  <c r="U193" i="7"/>
  <c r="BA61" i="5" s="1"/>
  <c r="U195" i="7"/>
  <c r="U197" i="7" s="1"/>
  <c r="AZ62" i="5"/>
  <c r="W154" i="7"/>
  <c r="W156" i="7"/>
  <c r="V126" i="7"/>
  <c r="V125" i="7" s="1"/>
  <c r="V158" i="7"/>
  <c r="U151" i="7"/>
  <c r="AZ22" i="5" s="1"/>
  <c r="W47" i="7"/>
  <c r="W46" i="7" s="1"/>
  <c r="X77" i="7"/>
  <c r="X47" i="7" s="1"/>
  <c r="X46" i="7" s="1"/>
  <c r="X75" i="7"/>
  <c r="AX64" i="5" s="1"/>
  <c r="Q7" i="7"/>
  <c r="Q6" i="7" s="1"/>
  <c r="Q32" i="7" s="1"/>
  <c r="AW18" i="5" s="1"/>
  <c r="R37" i="7"/>
  <c r="R7" i="7" s="1"/>
  <c r="R35" i="7"/>
  <c r="AW58" i="5" s="1"/>
  <c r="V241" i="7"/>
  <c r="V240" i="7" s="1"/>
  <c r="V45" i="7"/>
  <c r="V44" i="7" s="1"/>
  <c r="V72" i="7" s="1"/>
  <c r="AX23" i="5" s="1"/>
  <c r="U275" i="7"/>
  <c r="U243" i="7"/>
  <c r="U242" i="7" s="1"/>
  <c r="U268" i="7" s="1"/>
  <c r="BC22" i="5" s="1"/>
  <c r="V273" i="7"/>
  <c r="V271" i="7"/>
  <c r="BC62" i="5" s="1"/>
  <c r="V236" i="7"/>
  <c r="V204" i="7"/>
  <c r="Q203" i="7"/>
  <c r="Q229" i="7" s="1"/>
  <c r="BB18" i="5" s="1"/>
  <c r="W232" i="7"/>
  <c r="BB63" i="5" s="1"/>
  <c r="W234" i="7"/>
  <c r="Z157" i="7"/>
  <c r="W205" i="7"/>
  <c r="BB92" i="5" s="1"/>
  <c r="U162" i="7"/>
  <c r="V202" i="7"/>
  <c r="V201" i="7" s="1"/>
  <c r="V124" i="7"/>
  <c r="V123" i="7" s="1"/>
  <c r="V163" i="7"/>
  <c r="V85" i="7"/>
  <c r="V84" i="7" s="1"/>
  <c r="U112" i="7"/>
  <c r="AY22" i="5" s="1"/>
  <c r="V4" i="7"/>
  <c r="V115" i="7"/>
  <c r="AY62" i="5" s="1"/>
  <c r="V117" i="7"/>
  <c r="V87" i="7" s="1"/>
  <c r="V86" i="7" s="1"/>
  <c r="U119" i="7"/>
  <c r="W5" i="7"/>
  <c r="X27" i="4"/>
  <c r="X28" i="4" s="1"/>
  <c r="V25" i="4"/>
  <c r="W29" i="4"/>
  <c r="W13" i="4"/>
  <c r="V12" i="4"/>
  <c r="V8" i="4" s="1"/>
  <c r="V23" i="4" s="1"/>
  <c r="X24" i="4"/>
  <c r="Y11" i="4"/>
  <c r="X9" i="4"/>
  <c r="Y14" i="4"/>
  <c r="V193" i="7" l="1"/>
  <c r="BA62" i="5" s="1"/>
  <c r="U165" i="7"/>
  <c r="U164" i="7" s="1"/>
  <c r="U190" i="7" s="1"/>
  <c r="BA22" i="5" s="1"/>
  <c r="V195" i="7"/>
  <c r="V165" i="7" s="1"/>
  <c r="V164" i="7" s="1"/>
  <c r="V151" i="7"/>
  <c r="AZ23" i="5" s="1"/>
  <c r="W126" i="7"/>
  <c r="W125" i="7" s="1"/>
  <c r="W158" i="7"/>
  <c r="AZ63" i="5"/>
  <c r="X154" i="7"/>
  <c r="X156" i="7"/>
  <c r="Y75" i="7"/>
  <c r="AX65" i="5" s="1"/>
  <c r="Y77" i="7"/>
  <c r="Y79" i="7" s="1"/>
  <c r="X79" i="7"/>
  <c r="R39" i="7"/>
  <c r="S35" i="7"/>
  <c r="AW59" i="5" s="1"/>
  <c r="S37" i="7"/>
  <c r="S39" i="7" s="1"/>
  <c r="W241" i="7"/>
  <c r="W240" i="7" s="1"/>
  <c r="W45" i="7"/>
  <c r="W44" i="7" s="1"/>
  <c r="W72" i="7" s="1"/>
  <c r="AX24" i="5" s="1"/>
  <c r="W273" i="7"/>
  <c r="W271" i="7"/>
  <c r="BC63" i="5" s="1"/>
  <c r="V275" i="7"/>
  <c r="V243" i="7"/>
  <c r="V242" i="7" s="1"/>
  <c r="V268" i="7" s="1"/>
  <c r="BC23" i="5" s="1"/>
  <c r="W236" i="7"/>
  <c r="W204" i="7"/>
  <c r="R203" i="7"/>
  <c r="R229" i="7" s="1"/>
  <c r="BB19" i="5" s="1"/>
  <c r="X234" i="7"/>
  <c r="X232" i="7"/>
  <c r="BB64" i="5" s="1"/>
  <c r="X205" i="7"/>
  <c r="BB93" i="5" s="1"/>
  <c r="AA157" i="7"/>
  <c r="W202" i="7"/>
  <c r="W201" i="7" s="1"/>
  <c r="V162" i="7"/>
  <c r="W124" i="7"/>
  <c r="W123" i="7" s="1"/>
  <c r="W163" i="7"/>
  <c r="V112" i="7"/>
  <c r="AY23" i="5" s="1"/>
  <c r="W85" i="7"/>
  <c r="W84" i="7" s="1"/>
  <c r="W4" i="7"/>
  <c r="V119" i="7"/>
  <c r="W115" i="7"/>
  <c r="AY63" i="5" s="1"/>
  <c r="W117" i="7"/>
  <c r="W87" i="7" s="1"/>
  <c r="W86" i="7" s="1"/>
  <c r="X5" i="7"/>
  <c r="R6" i="7"/>
  <c r="R32" i="7" s="1"/>
  <c r="AW19" i="5" s="1"/>
  <c r="Y27" i="4"/>
  <c r="Y28" i="4" s="1"/>
  <c r="W25" i="4"/>
  <c r="X29" i="4"/>
  <c r="X13" i="4"/>
  <c r="W12" i="4"/>
  <c r="W8" i="4" s="1"/>
  <c r="W23" i="4" s="1"/>
  <c r="Y24" i="4"/>
  <c r="Z11" i="4"/>
  <c r="Y9" i="4"/>
  <c r="Z14" i="4"/>
  <c r="AA14" i="4" s="1"/>
  <c r="W195" i="7" l="1"/>
  <c r="W197" i="7" s="1"/>
  <c r="W193" i="7"/>
  <c r="BA63" i="5" s="1"/>
  <c r="V197" i="7"/>
  <c r="W151" i="7"/>
  <c r="AZ24" i="5" s="1"/>
  <c r="AZ64" i="5"/>
  <c r="Y154" i="7"/>
  <c r="Y156" i="7"/>
  <c r="X158" i="7"/>
  <c r="X126" i="7"/>
  <c r="X125" i="7" s="1"/>
  <c r="Z75" i="7"/>
  <c r="AX66" i="5" s="1"/>
  <c r="Z77" i="7"/>
  <c r="Z47" i="7" s="1"/>
  <c r="Z46" i="7" s="1"/>
  <c r="Y47" i="7"/>
  <c r="Y46" i="7" s="1"/>
  <c r="S7" i="7"/>
  <c r="S6" i="7" s="1"/>
  <c r="S32" i="7" s="1"/>
  <c r="AW20" i="5" s="1"/>
  <c r="T35" i="7"/>
  <c r="AW60" i="5" s="1"/>
  <c r="T37" i="7"/>
  <c r="T39" i="7" s="1"/>
  <c r="X241" i="7"/>
  <c r="X240" i="7" s="1"/>
  <c r="X45" i="7"/>
  <c r="X44" i="7" s="1"/>
  <c r="X72" i="7" s="1"/>
  <c r="AX25" i="5" s="1"/>
  <c r="X273" i="7"/>
  <c r="X271" i="7"/>
  <c r="BC64" i="5" s="1"/>
  <c r="W275" i="7"/>
  <c r="W243" i="7"/>
  <c r="W242" i="7" s="1"/>
  <c r="W268" i="7" s="1"/>
  <c r="BC24" i="5" s="1"/>
  <c r="X236" i="7"/>
  <c r="X204" i="7"/>
  <c r="S203" i="7"/>
  <c r="S229" i="7" s="1"/>
  <c r="BB20" i="5" s="1"/>
  <c r="Y234" i="7"/>
  <c r="Y232" i="7"/>
  <c r="BB65" i="5" s="1"/>
  <c r="Y205" i="7"/>
  <c r="BB94" i="5" s="1"/>
  <c r="W162" i="7"/>
  <c r="X202" i="7"/>
  <c r="X201" i="7" s="1"/>
  <c r="V190" i="7"/>
  <c r="BA23" i="5" s="1"/>
  <c r="X124" i="7"/>
  <c r="X123" i="7" s="1"/>
  <c r="X163" i="7"/>
  <c r="W112" i="7"/>
  <c r="AY24" i="5" s="1"/>
  <c r="X85" i="7"/>
  <c r="X84" i="7" s="1"/>
  <c r="X4" i="7"/>
  <c r="W119" i="7"/>
  <c r="X115" i="7"/>
  <c r="AY64" i="5" s="1"/>
  <c r="X117" i="7"/>
  <c r="X87" i="7" s="1"/>
  <c r="Y5" i="7"/>
  <c r="AA27" i="4"/>
  <c r="AA28" i="4" s="1"/>
  <c r="AA24" i="4"/>
  <c r="Z27" i="4"/>
  <c r="Z28" i="4" s="1"/>
  <c r="Y29" i="4"/>
  <c r="X25" i="4"/>
  <c r="Y13" i="4"/>
  <c r="X12" i="4"/>
  <c r="X8" i="4" s="1"/>
  <c r="X23" i="4" s="1"/>
  <c r="Z9" i="4"/>
  <c r="Z24" i="4"/>
  <c r="W165" i="7" l="1"/>
  <c r="W164" i="7" s="1"/>
  <c r="W190" i="7" s="1"/>
  <c r="BA24" i="5" s="1"/>
  <c r="X193" i="7"/>
  <c r="BA64" i="5" s="1"/>
  <c r="X195" i="7"/>
  <c r="X165" i="7" s="1"/>
  <c r="X164" i="7" s="1"/>
  <c r="X151" i="7"/>
  <c r="AZ25" i="5" s="1"/>
  <c r="Y126" i="7"/>
  <c r="Y125" i="7" s="1"/>
  <c r="Y158" i="7"/>
  <c r="AZ65" i="5"/>
  <c r="Z156" i="7"/>
  <c r="Z154" i="7"/>
  <c r="Z79" i="7"/>
  <c r="AA77" i="7"/>
  <c r="AA79" i="7" s="1"/>
  <c r="AA75" i="7"/>
  <c r="AX67" i="5" s="1"/>
  <c r="AX68" i="5" s="1"/>
  <c r="T7" i="7"/>
  <c r="T6" i="7" s="1"/>
  <c r="T32" i="7" s="1"/>
  <c r="AW21" i="5" s="1"/>
  <c r="U35" i="7"/>
  <c r="AW61" i="5" s="1"/>
  <c r="U37" i="7"/>
  <c r="U7" i="7" s="1"/>
  <c r="Y241" i="7"/>
  <c r="Y240" i="7" s="1"/>
  <c r="Y45" i="7"/>
  <c r="Y44" i="7" s="1"/>
  <c r="Y72" i="7" s="1"/>
  <c r="AX26" i="5" s="1"/>
  <c r="Y271" i="7"/>
  <c r="BC65" i="5" s="1"/>
  <c r="Y273" i="7"/>
  <c r="X275" i="7"/>
  <c r="X243" i="7"/>
  <c r="X242" i="7" s="1"/>
  <c r="X268" i="7" s="1"/>
  <c r="BC25" i="5" s="1"/>
  <c r="Y236" i="7"/>
  <c r="Y204" i="7"/>
  <c r="T203" i="7"/>
  <c r="T229" i="7" s="1"/>
  <c r="BB21" i="5" s="1"/>
  <c r="Z234" i="7"/>
  <c r="Z232" i="7"/>
  <c r="BB66" i="5" s="1"/>
  <c r="Z205" i="7"/>
  <c r="BB95" i="5" s="1"/>
  <c r="X162" i="7"/>
  <c r="Y202" i="7"/>
  <c r="Y201" i="7" s="1"/>
  <c r="Y124" i="7"/>
  <c r="Y123" i="7" s="1"/>
  <c r="Y163" i="7"/>
  <c r="X86" i="7"/>
  <c r="X112" i="7" s="1"/>
  <c r="AY25" i="5" s="1"/>
  <c r="Y85" i="7"/>
  <c r="Y84" i="7" s="1"/>
  <c r="Y4" i="7"/>
  <c r="X119" i="7"/>
  <c r="Y117" i="7"/>
  <c r="Y87" i="7" s="1"/>
  <c r="Y86" i="7" s="1"/>
  <c r="Y115" i="7"/>
  <c r="AY65" i="5" s="1"/>
  <c r="AA5" i="7"/>
  <c r="Z5" i="7"/>
  <c r="AA29" i="4"/>
  <c r="D20" i="5"/>
  <c r="D19" i="5"/>
  <c r="Y25" i="4"/>
  <c r="Z29" i="4"/>
  <c r="Z13" i="4"/>
  <c r="AA13" i="4" s="1"/>
  <c r="Y12" i="4"/>
  <c r="Y8" i="4" s="1"/>
  <c r="Y23" i="4" s="1"/>
  <c r="B31" i="10" l="1"/>
  <c r="B47" i="10"/>
  <c r="B9" i="10"/>
  <c r="B20" i="10"/>
  <c r="L9" i="5"/>
  <c r="L31" i="5"/>
  <c r="L20" i="5"/>
  <c r="L47" i="5"/>
  <c r="Y195" i="7"/>
  <c r="Y197" i="7" s="1"/>
  <c r="Y193" i="7"/>
  <c r="BA65" i="5" s="1"/>
  <c r="X197" i="7"/>
  <c r="Y151" i="7"/>
  <c r="AZ26" i="5" s="1"/>
  <c r="Z126" i="7"/>
  <c r="Z125" i="7" s="1"/>
  <c r="Z158" i="7"/>
  <c r="AZ66" i="5"/>
  <c r="AA154" i="7"/>
  <c r="AZ67" i="5" s="1"/>
  <c r="AA156" i="7"/>
  <c r="AA47" i="7"/>
  <c r="AA46" i="7" s="1"/>
  <c r="U39" i="7"/>
  <c r="V35" i="7"/>
  <c r="AW62" i="5" s="1"/>
  <c r="V37" i="7"/>
  <c r="V7" i="7" s="1"/>
  <c r="Z241" i="7"/>
  <c r="Z240" i="7" s="1"/>
  <c r="Z45" i="7"/>
  <c r="Z44" i="7" s="1"/>
  <c r="Z72" i="7" s="1"/>
  <c r="AX27" i="5" s="1"/>
  <c r="AA241" i="7"/>
  <c r="AA240" i="7" s="1"/>
  <c r="AA45" i="7"/>
  <c r="AA44" i="7" s="1"/>
  <c r="Y275" i="7"/>
  <c r="Y243" i="7"/>
  <c r="Y242" i="7" s="1"/>
  <c r="Y268" i="7" s="1"/>
  <c r="BC26" i="5" s="1"/>
  <c r="Z271" i="7"/>
  <c r="BC66" i="5" s="1"/>
  <c r="Z273" i="7"/>
  <c r="Z236" i="7"/>
  <c r="Z204" i="7"/>
  <c r="U203" i="7"/>
  <c r="U229" i="7" s="1"/>
  <c r="BB22" i="5" s="1"/>
  <c r="AA232" i="7"/>
  <c r="BB67" i="5" s="1"/>
  <c r="BB68" i="5" s="1"/>
  <c r="AA234" i="7"/>
  <c r="AA205" i="7"/>
  <c r="BB96" i="5" s="1"/>
  <c r="BB97" i="5" s="1"/>
  <c r="X190" i="7"/>
  <c r="BA25" i="5" s="1"/>
  <c r="Z202" i="7"/>
  <c r="Z201" i="7" s="1"/>
  <c r="Y162" i="7"/>
  <c r="AA202" i="7"/>
  <c r="AA201" i="7" s="1"/>
  <c r="Z124" i="7"/>
  <c r="Z123" i="7" s="1"/>
  <c r="Z163" i="7"/>
  <c r="AA124" i="7"/>
  <c r="AA123" i="7" s="1"/>
  <c r="AA163" i="7"/>
  <c r="Y112" i="7"/>
  <c r="AY26" i="5" s="1"/>
  <c r="Z85" i="7"/>
  <c r="Z84" i="7" s="1"/>
  <c r="AA85" i="7"/>
  <c r="AA84" i="7" s="1"/>
  <c r="Z4" i="7"/>
  <c r="AA4" i="7"/>
  <c r="Z117" i="7"/>
  <c r="Z87" i="7" s="1"/>
  <c r="Z115" i="7"/>
  <c r="AY66" i="5" s="1"/>
  <c r="Y119" i="7"/>
  <c r="U6" i="7"/>
  <c r="U32" i="7" s="1"/>
  <c r="AW22" i="5" s="1"/>
  <c r="AA12" i="4"/>
  <c r="AA8" i="4" s="1"/>
  <c r="AA23" i="4" s="1"/>
  <c r="AA25" i="4"/>
  <c r="Z12" i="4"/>
  <c r="Z8" i="4" s="1"/>
  <c r="Z23" i="4" s="1"/>
  <c r="Z25" i="4"/>
  <c r="Y165" i="7" l="1"/>
  <c r="Y164" i="7" s="1"/>
  <c r="Y190" i="7" s="1"/>
  <c r="BA26" i="5" s="1"/>
  <c r="Z193" i="7"/>
  <c r="BA66" i="5" s="1"/>
  <c r="Z195" i="7"/>
  <c r="Z165" i="7" s="1"/>
  <c r="Z164" i="7" s="1"/>
  <c r="AZ68" i="5"/>
  <c r="Z151" i="7"/>
  <c r="AZ27" i="5" s="1"/>
  <c r="AA126" i="7"/>
  <c r="AA125" i="7" s="1"/>
  <c r="AA151" i="7" s="1"/>
  <c r="AZ28" i="5" s="1"/>
  <c r="AA158" i="7"/>
  <c r="AA72" i="7"/>
  <c r="AX28" i="5" s="1"/>
  <c r="V39" i="7"/>
  <c r="W37" i="7"/>
  <c r="W7" i="7" s="1"/>
  <c r="W35" i="7"/>
  <c r="AW63" i="5" s="1"/>
  <c r="Z275" i="7"/>
  <c r="Z243" i="7"/>
  <c r="Z242" i="7" s="1"/>
  <c r="Z268" i="7" s="1"/>
  <c r="BC27" i="5" s="1"/>
  <c r="AA273" i="7"/>
  <c r="AA271" i="7"/>
  <c r="BC67" i="5" s="1"/>
  <c r="BC68" i="5" s="1"/>
  <c r="AA236" i="7"/>
  <c r="AA204" i="7"/>
  <c r="V203" i="7"/>
  <c r="V229" i="7" s="1"/>
  <c r="BB23" i="5" s="1"/>
  <c r="AA162" i="7"/>
  <c r="Z162" i="7"/>
  <c r="Z86" i="7"/>
  <c r="Z112" i="7" s="1"/>
  <c r="AY27" i="5" s="1"/>
  <c r="AA117" i="7"/>
  <c r="AA87" i="7" s="1"/>
  <c r="AA86" i="7" s="1"/>
  <c r="AA112" i="7" s="1"/>
  <c r="AY28" i="5" s="1"/>
  <c r="AA115" i="7"/>
  <c r="AY67" i="5" s="1"/>
  <c r="AY68" i="5" s="1"/>
  <c r="Z119" i="7"/>
  <c r="V6" i="7"/>
  <c r="V32" i="7" s="1"/>
  <c r="AW23" i="5" s="1"/>
  <c r="D18" i="5"/>
  <c r="B44" i="10" s="1"/>
  <c r="D16" i="5"/>
  <c r="D15" i="5"/>
  <c r="B28" i="10" l="1"/>
  <c r="B36" i="10"/>
  <c r="B6" i="10"/>
  <c r="B17" i="10"/>
  <c r="B25" i="10"/>
  <c r="B41" i="10"/>
  <c r="B3" i="10"/>
  <c r="B14" i="10"/>
  <c r="L3" i="5"/>
  <c r="L14" i="5"/>
  <c r="L41" i="5"/>
  <c r="L25" i="5"/>
  <c r="L6" i="5"/>
  <c r="L28" i="5"/>
  <c r="L17" i="5"/>
  <c r="L36" i="5"/>
  <c r="L44" i="5"/>
  <c r="Z197" i="7"/>
  <c r="AA195" i="7"/>
  <c r="AA165" i="7" s="1"/>
  <c r="AA164" i="7" s="1"/>
  <c r="AA190" i="7" s="1"/>
  <c r="BA28" i="5" s="1"/>
  <c r="AA193" i="7"/>
  <c r="BA67" i="5" s="1"/>
  <c r="BA68" i="5" s="1"/>
  <c r="AZ29" i="5"/>
  <c r="AX29" i="5"/>
  <c r="X35" i="7"/>
  <c r="AW64" i="5" s="1"/>
  <c r="W39" i="7"/>
  <c r="X37" i="7"/>
  <c r="X39" i="7" s="1"/>
  <c r="AA275" i="7"/>
  <c r="AA243" i="7"/>
  <c r="AA242" i="7" s="1"/>
  <c r="AA268" i="7" s="1"/>
  <c r="BC28" i="5" s="1"/>
  <c r="W203" i="7"/>
  <c r="W229" i="7" s="1"/>
  <c r="BB24" i="5" s="1"/>
  <c r="Z190" i="7"/>
  <c r="BA27" i="5" s="1"/>
  <c r="AA119" i="7"/>
  <c r="W6" i="7"/>
  <c r="W32" i="7" s="1"/>
  <c r="AW24" i="5" s="1"/>
  <c r="AA197" i="7" l="1"/>
  <c r="Y37" i="7"/>
  <c r="Y7" i="7" s="1"/>
  <c r="Y35" i="7"/>
  <c r="Z35" i="7" s="1"/>
  <c r="X7" i="7"/>
  <c r="X6" i="7" s="1"/>
  <c r="X32" i="7" s="1"/>
  <c r="AW25" i="5" s="1"/>
  <c r="X203" i="7"/>
  <c r="X229" i="7" s="1"/>
  <c r="BB25" i="5" s="1"/>
  <c r="BA29" i="5"/>
  <c r="Y39" i="7" l="1"/>
  <c r="Z37" i="7"/>
  <c r="Z7" i="7" s="1"/>
  <c r="Z6" i="7" s="1"/>
  <c r="Z32" i="7" s="1"/>
  <c r="AW27" i="5" s="1"/>
  <c r="AW65" i="5"/>
  <c r="AV42" i="5"/>
  <c r="AW66" i="5"/>
  <c r="AA37" i="7"/>
  <c r="AA7" i="7" s="1"/>
  <c r="AA35" i="7"/>
  <c r="AW67" i="5" s="1"/>
  <c r="Y203" i="7"/>
  <c r="Y229" i="7" s="1"/>
  <c r="BB26" i="5" s="1"/>
  <c r="Y6" i="7"/>
  <c r="Y32" i="7" s="1"/>
  <c r="AW26" i="5" s="1"/>
  <c r="Z39" i="7" l="1"/>
  <c r="AW68" i="5"/>
  <c r="AA39" i="7"/>
  <c r="Z203" i="7"/>
  <c r="Z229" i="7" s="1"/>
  <c r="BB27" i="5" s="1"/>
  <c r="AY29" i="5"/>
  <c r="AA6" i="7"/>
  <c r="AA32" i="7" s="1"/>
  <c r="AA203" i="7" l="1"/>
  <c r="AA229" i="7" s="1"/>
  <c r="BC29" i="5"/>
  <c r="AV3" i="5"/>
  <c r="AW28" i="5"/>
  <c r="AW29" i="5" s="1"/>
  <c r="BB28" i="5" l="1"/>
  <c r="BB29"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Navarro, Arturo</author>
  </authors>
  <commentList>
    <comment ref="C10" authorId="0" shapeId="0" xr:uid="{BD23BC64-F870-42C0-899D-A8A6983B7297}">
      <text>
        <r>
          <rPr>
            <b/>
            <sz val="9"/>
            <color indexed="81"/>
            <rFont val="Tahoma"/>
            <family val="2"/>
          </rPr>
          <t>Navarro, Arturo:</t>
        </r>
        <r>
          <rPr>
            <sz val="9"/>
            <color indexed="81"/>
            <rFont val="Tahoma"/>
            <family val="2"/>
          </rPr>
          <t xml:space="preserve">
What is gl?</t>
        </r>
      </text>
    </comment>
    <comment ref="E19" authorId="0" shapeId="0" xr:uid="{8A429D85-45BD-4637-B32D-0980843749F0}">
      <text>
        <r>
          <rPr>
            <b/>
            <sz val="9"/>
            <color indexed="81"/>
            <rFont val="Tahoma"/>
            <family val="2"/>
          </rPr>
          <t>Navarro, Arturo:</t>
        </r>
        <r>
          <rPr>
            <sz val="9"/>
            <color indexed="81"/>
            <rFont val="Tahoma"/>
            <family val="2"/>
          </rPr>
          <t xml:space="preserve">
De donde viene este número?</t>
        </r>
      </text>
    </comment>
  </commentList>
</comments>
</file>

<file path=xl/sharedStrings.xml><?xml version="1.0" encoding="utf-8"?>
<sst xmlns="http://schemas.openxmlformats.org/spreadsheetml/2006/main" count="494" uniqueCount="204">
  <si>
    <t>Production</t>
  </si>
  <si>
    <t>Variable cost</t>
  </si>
  <si>
    <t>Intra-Parcel Investment</t>
  </si>
  <si>
    <t>Maintenance and operation costs of the extra-parcel system</t>
  </si>
  <si>
    <t>Concept</t>
  </si>
  <si>
    <t>Value</t>
  </si>
  <si>
    <t>Units</t>
  </si>
  <si>
    <t>Without project</t>
  </si>
  <si>
    <t>With project</t>
  </si>
  <si>
    <t>Tons/hectar/year</t>
  </si>
  <si>
    <t>EUR/ton</t>
  </si>
  <si>
    <t>Investment</t>
  </si>
  <si>
    <t>IRRIGATION PROJECT FOR POTATO PRODUCING FIELDS</t>
  </si>
  <si>
    <t>Item</t>
  </si>
  <si>
    <t>Land adquisition</t>
  </si>
  <si>
    <t>Land clearing</t>
  </si>
  <si>
    <t>gl</t>
  </si>
  <si>
    <t>Hectar</t>
  </si>
  <si>
    <t>Pumps</t>
  </si>
  <si>
    <t>Each</t>
  </si>
  <si>
    <t>Meter</t>
  </si>
  <si>
    <t>Main Pumps</t>
  </si>
  <si>
    <t>Number of units</t>
  </si>
  <si>
    <t>Land survey</t>
  </si>
  <si>
    <t>Legal</t>
  </si>
  <si>
    <t>Soil mechanics</t>
  </si>
  <si>
    <t>Engineering design</t>
  </si>
  <si>
    <t>Tractors</t>
  </si>
  <si>
    <t>Measurement and control</t>
  </si>
  <si>
    <t>Main pipes</t>
  </si>
  <si>
    <t>Floodgates</t>
  </si>
  <si>
    <t>Dam structure (concrete)</t>
  </si>
  <si>
    <t>Earth movement for dam</t>
  </si>
  <si>
    <t>Main pumps housing</t>
  </si>
  <si>
    <t>Flow meters and controls</t>
  </si>
  <si>
    <t>Excavation for pipes</t>
  </si>
  <si>
    <t>Pump housings</t>
  </si>
  <si>
    <t>Drip pipes</t>
  </si>
  <si>
    <t>Electricity lines</t>
  </si>
  <si>
    <t>TOTAL</t>
  </si>
  <si>
    <t xml:space="preserve">IRRIGATION PROJECT FOR POTATO PRODUCING FIELDS </t>
  </si>
  <si>
    <t>Hectars</t>
  </si>
  <si>
    <t>Vertical tillage tools</t>
  </si>
  <si>
    <t>Manure spreader</t>
  </si>
  <si>
    <t>Harvesters</t>
  </si>
  <si>
    <t>Subtotal</t>
  </si>
  <si>
    <t>Maintenance and operation costs of the intra-parcel system</t>
  </si>
  <si>
    <t>EUR</t>
  </si>
  <si>
    <t>EUR/hectar</t>
  </si>
  <si>
    <t>EUR/hectar/year</t>
  </si>
  <si>
    <t>Electric transformer</t>
  </si>
  <si>
    <t>Wages</t>
  </si>
  <si>
    <t>Electricity</t>
  </si>
  <si>
    <t>Each-average</t>
  </si>
  <si>
    <t>Maintenance of control systems</t>
  </si>
  <si>
    <t>Maintenance of Infraestructure</t>
  </si>
  <si>
    <t>Seeds</t>
  </si>
  <si>
    <t>gl./year</t>
  </si>
  <si>
    <t>gl./year/hectar</t>
  </si>
  <si>
    <t>Fertilizer</t>
  </si>
  <si>
    <t>Herbicides</t>
  </si>
  <si>
    <t>Fungicide &amp; Insecticide</t>
  </si>
  <si>
    <t>Irrigation Fuel</t>
  </si>
  <si>
    <t>Utilities</t>
  </si>
  <si>
    <t>Maintenance &amp; Repairs irrigation system</t>
  </si>
  <si>
    <t>Maintenance &amp; Repairs of machinery</t>
  </si>
  <si>
    <t>Year</t>
  </si>
  <si>
    <t>(all values in EUR Th.)</t>
  </si>
  <si>
    <t>Includes dam, pumping, pipes to fields and intra-field irrigation</t>
  </si>
  <si>
    <t>Exchange rate EUR/USD</t>
  </si>
  <si>
    <t>PV Cost GOP</t>
  </si>
  <si>
    <t>Dam and main pipes (GOP)</t>
  </si>
  <si>
    <t>Initial studies (GOP)</t>
  </si>
  <si>
    <t>Farms (Farmers)</t>
  </si>
  <si>
    <t>Discount Rate</t>
  </si>
  <si>
    <t>NPV farmers</t>
  </si>
  <si>
    <t>IRR farmers</t>
  </si>
  <si>
    <t>Subsidy to adquisition of machinery</t>
  </si>
  <si>
    <t>IRR Project</t>
  </si>
  <si>
    <t>Investment cost GOP</t>
  </si>
  <si>
    <t>Cubic meters of earth moved for dam</t>
  </si>
  <si>
    <t>Discount rate</t>
  </si>
  <si>
    <t>Dam structure  volume of concrete</t>
  </si>
  <si>
    <t>Dam structure cost of concrete/m3</t>
  </si>
  <si>
    <t>NPV Project</t>
  </si>
  <si>
    <t>Values of Variables for analysis</t>
  </si>
  <si>
    <t>Results of scenarios</t>
  </si>
  <si>
    <t>Sale price of potatos</t>
  </si>
  <si>
    <t>EUR/Hectar</t>
  </si>
  <si>
    <t>Cost of land adquired per hectar</t>
  </si>
  <si>
    <t>EUR/m3</t>
  </si>
  <si>
    <t>m3</t>
  </si>
  <si>
    <t>Price per cubic meter of earth moved</t>
  </si>
  <si>
    <t>EUR ths</t>
  </si>
  <si>
    <t>Total cost
(EUR)</t>
  </si>
  <si>
    <t>Price per unit 
(EUR)</t>
  </si>
  <si>
    <t>Increase in producitve area and yield increase</t>
  </si>
  <si>
    <t>Operation and Maintenance Costs per year</t>
  </si>
  <si>
    <t>Project Investment Costs</t>
  </si>
  <si>
    <t xml:space="preserve">Equipment  adquisition / renovation </t>
  </si>
  <si>
    <t>Studies</t>
  </si>
  <si>
    <t>Public Infrastructure (GOP)</t>
  </si>
  <si>
    <t>Private irrigation infrastructure (on-farm)</t>
  </si>
  <si>
    <t>Infrastructure</t>
  </si>
  <si>
    <t>Private</t>
  </si>
  <si>
    <t>Public</t>
  </si>
  <si>
    <t>Equipment</t>
  </si>
  <si>
    <t>Total Investment</t>
  </si>
  <si>
    <t>Operation</t>
  </si>
  <si>
    <t>Expenses</t>
  </si>
  <si>
    <t>Maintenance</t>
  </si>
  <si>
    <t>Income</t>
  </si>
  <si>
    <t>Sale price of potatoes</t>
  </si>
  <si>
    <t xml:space="preserve">Additional production (tons) </t>
  </si>
  <si>
    <t>Other Income</t>
  </si>
  <si>
    <t>Project Cash Flows</t>
  </si>
  <si>
    <t>Private Cash Flow</t>
  </si>
  <si>
    <t>Public Cash Flows</t>
  </si>
  <si>
    <t>Income Tax Rate</t>
  </si>
  <si>
    <t>Income Tax</t>
  </si>
  <si>
    <t>Private Earnigns before Taxes</t>
  </si>
  <si>
    <t>After-tax earnings</t>
  </si>
  <si>
    <t>Gross Capital Formation</t>
  </si>
  <si>
    <t>Net Lending / Borrowing</t>
  </si>
  <si>
    <t>Incomes</t>
  </si>
  <si>
    <t>Equipment Subsidy</t>
  </si>
  <si>
    <t>Incremental Taxes</t>
  </si>
  <si>
    <t>EUR th.</t>
  </si>
  <si>
    <t>Change in:</t>
  </si>
  <si>
    <t>Project NPV</t>
  </si>
  <si>
    <t>Farmers NPV</t>
  </si>
  <si>
    <t>PV Govt Cost</t>
  </si>
  <si>
    <t>Nominal Exchange Rate</t>
  </si>
  <si>
    <t>EUR/USD</t>
  </si>
  <si>
    <t>Cost of Hectare</t>
  </si>
  <si>
    <t>Percent of Subsidy for Equipment</t>
  </si>
  <si>
    <t>Baseline</t>
  </si>
  <si>
    <t>Meters</t>
  </si>
  <si>
    <r>
      <t>m</t>
    </r>
    <r>
      <rPr>
        <vertAlign val="superscript"/>
        <sz val="11"/>
        <color theme="1"/>
        <rFont val="Calibri"/>
        <family val="2"/>
      </rPr>
      <t>3</t>
    </r>
  </si>
  <si>
    <t>Income from Increased production</t>
  </si>
  <si>
    <t>Inpact on Total Project &amp; Private NPV and on Government Cost of a change in:</t>
  </si>
  <si>
    <t>Debt Service</t>
  </si>
  <si>
    <t>Disbursement</t>
  </si>
  <si>
    <t>Price of Concrete</t>
  </si>
  <si>
    <t>Debt Profile</t>
  </si>
  <si>
    <t>Interest</t>
  </si>
  <si>
    <t>Interest Expense</t>
  </si>
  <si>
    <t>Amortization</t>
  </si>
  <si>
    <t>Stock (EOP)</t>
  </si>
  <si>
    <t>Annual Inflation Forecast</t>
  </si>
  <si>
    <t>12-row planter</t>
  </si>
  <si>
    <t>Scenario Analysis for Government Accounts</t>
  </si>
  <si>
    <t>Net lending/Borrowing</t>
  </si>
  <si>
    <t>Geological Risk</t>
  </si>
  <si>
    <t>Price Risk</t>
  </si>
  <si>
    <t>Exchange rate</t>
  </si>
  <si>
    <t>Subsidy Policy</t>
  </si>
  <si>
    <t>Policy Risk</t>
  </si>
  <si>
    <t>Combined</t>
  </si>
  <si>
    <t>Land Cost</t>
  </si>
  <si>
    <t>Sale of old machines (Private)</t>
  </si>
  <si>
    <t>Exchange Rate</t>
  </si>
  <si>
    <t>Debt Stock</t>
  </si>
  <si>
    <t>Operating Expenses</t>
  </si>
  <si>
    <t>Irrigation project to increase production of Potatos in Pimnia</t>
  </si>
  <si>
    <t>Project considers building a dam on Rushing River and a network of pipes for water distribution. Some key facts and assumption used for appraising the project are:</t>
  </si>
  <si>
    <t>·        Average production by hectare will be increased from 35 to 50 tons per year.</t>
  </si>
  <si>
    <t>·        Planted surface will increase from the actual 550 hectare to 1600 hectare.</t>
  </si>
  <si>
    <t>·        Government will build the dam, pumping stations a main distribution pipes. And it is expected that farmers will invest on their farms to improve irrigation and plant additional hectares.</t>
  </si>
  <si>
    <t>·        Given the larger scale of production, new machinery will be required for filed preparation and cropping. But due to the high cost, 50% will be subsidized by government.</t>
  </si>
  <si>
    <t>·        Sale price of potatoes, currently at 200 EUR/ton will not be affected by the increased production because the increase is marginal as compared with actual volumes traded.</t>
  </si>
  <si>
    <t>A project appraisal has been prepared to ascertain if:</t>
  </si>
  <si>
    <t>·        The project as a whole has a positive NPV for Pimnia, therefore contributing to the growth of the country.</t>
  </si>
  <si>
    <t>·        The project has a positive NPV for farmers, in order for them to be interested in investing in irrigation and machinery, and expanding planted surface.</t>
  </si>
  <si>
    <t>·        Analyze impact of project on government finances.</t>
  </si>
  <si>
    <t>·        The cost of capital for project financing, reflected in the Discount Rate.</t>
  </si>
  <si>
    <t>·        The Exchange Rate (EUR/USD), which would affect the cost of imported machines.</t>
  </si>
  <si>
    <t>·        Cost of land per hectare, given the need to buy 250 hectare for placement of dam and pumping stations.</t>
  </si>
  <si>
    <t>·        There is a geological risk which can impact the number of  cubic meters of earth moved for construction of dam and the cost per cubic meter of earth moved.</t>
  </si>
  <si>
    <t>·        Geological risk may also increase the volume of concrete needed for the dam.</t>
  </si>
  <si>
    <t>·        The is also some uncertainty regarding the cost of concrete per cubic meter.</t>
  </si>
  <si>
    <t>·        A key variable is also the  sale price of potatoes, which will affect farmers interest in the project and convenience for the country in terms of NPV.</t>
  </si>
  <si>
    <t>·        Finally, the amount of subsidy for acquisition of machinery should be analyzed, to determine its impact in profitability for farmers and on government finances.</t>
  </si>
  <si>
    <t>Given the uncertainties associated with the project presented by the Ministry of Ministry of Agriculture, Animal &amp; Fisheries, Ministry of Finance is interested in analyzing the following aspects:</t>
  </si>
  <si>
    <t>·        Study if changes in key variables, affecting negatively project indicators, can turn it into a bad project for the country (negative NPV).</t>
  </si>
  <si>
    <t>·        Study if changes in key variables could negatively affect project indicators for farmers, discouraging them from investing in their fields and therefore turning governments investment useless.</t>
  </si>
  <si>
    <t>For this purpose a sensitivy / scenario analysis has been prepared by the ministry, and it should be used to answer the following questions:</t>
  </si>
  <si>
    <t>·        Is the project convenient for the country in all scenarios analyzed?</t>
  </si>
  <si>
    <t>·        Is the project convenient for farmers in all scenarios analyzed?</t>
  </si>
  <si>
    <t>·        Is there a need for the 50% subsidy to machinery?</t>
  </si>
  <si>
    <t>·        What is the worst case scenario for government finances and what could be done to mitigate it.</t>
  </si>
  <si>
    <t>Work to be done</t>
  </si>
  <si>
    <t>Given that Potato production in Pimnia is a key source of income for farmers, is an important household consumption item, and has also the potential of becoming an exportable good, the Ministry of Agriculture, Animal &amp; Fisheries, with the technical support of the Ministry of Water and Sanitation, has developed a project to increase irrigation in Paradise Valley.</t>
  </si>
  <si>
    <t>However, there is uncertainty regarding key project assumptions. Changes in the value of these variables can have an impact on project indicators and government financing which cant be neglected. These variables are:</t>
  </si>
  <si>
    <t>·        Analyze the impact on government finances of risks due to geological factors, cost of land to be acquired, changes in exchange rate, changes in prices, change of subsidy policy and a reasonable combination of these factors.</t>
  </si>
  <si>
    <t>Exchange Rate Risk</t>
  </si>
  <si>
    <t>x</t>
  </si>
  <si>
    <t>Esc 1</t>
  </si>
  <si>
    <t>Esc 2</t>
  </si>
  <si>
    <t>Esc 3</t>
  </si>
  <si>
    <t>Esc 4</t>
  </si>
  <si>
    <t>Esc 5</t>
  </si>
  <si>
    <t>Impact on Total Project &amp; Private NPV and on Government Cost of a change in:</t>
  </si>
  <si>
    <t>Scenario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</si>
</sst>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3" formatCode="_(* #,##0.00_);_(* \(#,##0.00\);_(* &quot;-&quot;??_);_(@_)"/>
    <numFmt numFmtId="164" formatCode="&quot;$&quot;#,##0"/>
    <numFmt numFmtId="165" formatCode="_(* #,##0_);_(* \(#,##0\);_(* &quot;-&quot;??_);_(@_)"/>
    <numFmt numFmtId="166" formatCode="0.0%"/>
    <numFmt numFmtId="167" formatCode="&quot;Y&quot;0"/>
    <numFmt numFmtId="168" formatCode="#,##0,"/>
    <numFmt numFmtId="169" formatCode="#,##0,;\(#,##0,\);\-\-"/>
    <numFmt numFmtId="170" formatCode="#,##0;\(#,##0\);\-\-"/>
    <numFmt numFmtId="171" formatCode="#,##0.0,;\(#,##0.0,\);\-\-"/>
  </numFmts>
  <fonts count="24" x14ac:knownFonts="1">
    <font>
      <sz val="11"/>
      <color theme="1"/>
      <name val="Calibri"/>
      <family val="2"/>
      <scheme val="minor"/>
    </font>
    <font>
      <b/>
      <sz val="11"/>
      <color theme="1"/>
      <name val="Calibri"/>
      <family val="2"/>
      <scheme val="minor"/>
    </font>
    <font>
      <sz val="11"/>
      <color theme="1"/>
      <name val="Calibri"/>
      <family val="2"/>
      <scheme val="minor"/>
    </font>
    <font>
      <sz val="9"/>
      <color theme="1"/>
      <name val="Arial"/>
      <family val="2"/>
    </font>
    <font>
      <b/>
      <sz val="11"/>
      <color rgb="FFFF0000"/>
      <name val="Calibri"/>
      <family val="2"/>
      <scheme val="minor"/>
    </font>
    <font>
      <b/>
      <u/>
      <sz val="11"/>
      <color theme="1"/>
      <name val="Calibri"/>
      <family val="2"/>
      <scheme val="minor"/>
    </font>
    <font>
      <b/>
      <sz val="11"/>
      <color theme="0"/>
      <name val="Calibri"/>
      <family val="2"/>
      <scheme val="minor"/>
    </font>
    <font>
      <sz val="11"/>
      <color theme="0"/>
      <name val="Calibri"/>
      <family val="2"/>
      <scheme val="minor"/>
    </font>
    <font>
      <i/>
      <sz val="11"/>
      <color theme="1"/>
      <name val="Calibri"/>
      <family val="2"/>
      <scheme val="minor"/>
    </font>
    <font>
      <sz val="11"/>
      <color rgb="FF00B050"/>
      <name val="Calibri"/>
      <family val="2"/>
      <scheme val="minor"/>
    </font>
    <font>
      <sz val="11"/>
      <color theme="4"/>
      <name val="Calibri"/>
      <family val="2"/>
      <scheme val="minor"/>
    </font>
    <font>
      <sz val="9"/>
      <color indexed="81"/>
      <name val="Tahoma"/>
      <family val="2"/>
    </font>
    <font>
      <b/>
      <sz val="9"/>
      <color indexed="81"/>
      <name val="Tahoma"/>
      <family val="2"/>
    </font>
    <font>
      <vertAlign val="superscript"/>
      <sz val="11"/>
      <color theme="1"/>
      <name val="Calibri"/>
      <family val="2"/>
    </font>
    <font>
      <b/>
      <sz val="12"/>
      <color theme="0"/>
      <name val="Arial Black"/>
      <family val="2"/>
    </font>
    <font>
      <sz val="11"/>
      <color theme="1"/>
      <name val="Arial Nova"/>
      <family val="2"/>
    </font>
    <font>
      <b/>
      <sz val="11"/>
      <color theme="1"/>
      <name val="Arial Nova"/>
      <family val="2"/>
    </font>
    <font>
      <sz val="11"/>
      <color rgb="FF00B050"/>
      <name val="Arial Nova"/>
      <family val="2"/>
    </font>
    <font>
      <sz val="11"/>
      <color rgb="FFFF0000"/>
      <name val="Arial Nova"/>
      <family val="2"/>
    </font>
    <font>
      <b/>
      <sz val="10"/>
      <color theme="0"/>
      <name val="Arial Black"/>
      <family val="2"/>
    </font>
    <font>
      <sz val="10"/>
      <color theme="0"/>
      <name val="Arial Black"/>
      <family val="2"/>
    </font>
    <font>
      <b/>
      <sz val="11"/>
      <color theme="4"/>
      <name val="Arial Nova"/>
      <family val="2"/>
    </font>
    <font>
      <sz val="11"/>
      <color theme="4"/>
      <name val="Arial Nova"/>
      <family val="2"/>
    </font>
    <font>
      <sz val="14"/>
      <color theme="9" tint="-0.249977111117893"/>
      <name val="Arial Black"/>
      <family val="2"/>
    </font>
  </fonts>
  <fills count="10">
    <fill>
      <patternFill patternType="none"/>
    </fill>
    <fill>
      <patternFill patternType="gray125"/>
    </fill>
    <fill>
      <patternFill patternType="solid">
        <fgColor theme="0" tint="-0.14999847407452621"/>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4" tint="-0.249977111117893"/>
        <bgColor indexed="64"/>
      </patternFill>
    </fill>
    <fill>
      <patternFill patternType="solid">
        <fgColor theme="4"/>
        <bgColor indexed="64"/>
      </patternFill>
    </fill>
    <fill>
      <patternFill patternType="solid">
        <fgColor theme="9" tint="0.39997558519241921"/>
        <bgColor indexed="64"/>
      </patternFill>
    </fill>
    <fill>
      <patternFill patternType="solid">
        <fgColor theme="7"/>
        <bgColor indexed="64"/>
      </patternFill>
    </fill>
  </fills>
  <borders count="5">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43" fontId="2" fillId="0" borderId="0" applyFont="0" applyFill="0" applyBorder="0" applyAlignment="0" applyProtection="0"/>
  </cellStyleXfs>
  <cellXfs count="197">
    <xf numFmtId="0" fontId="0" fillId="0" borderId="0" xfId="0"/>
    <xf numFmtId="9" fontId="0" fillId="0" borderId="0" xfId="0" applyNumberFormat="1"/>
    <xf numFmtId="0" fontId="1" fillId="0" borderId="0" xfId="0" applyFont="1" applyAlignment="1">
      <alignment horizontal="center"/>
    </xf>
    <xf numFmtId="0" fontId="1" fillId="0" borderId="0" xfId="0" applyFont="1"/>
    <xf numFmtId="0" fontId="0" fillId="0" borderId="0" xfId="0" applyFont="1" applyAlignment="1">
      <alignment horizontal="center"/>
    </xf>
    <xf numFmtId="164" fontId="0" fillId="0" borderId="0" xfId="0" applyNumberFormat="1" applyFont="1" applyAlignment="1">
      <alignment horizontal="right"/>
    </xf>
    <xf numFmtId="164" fontId="0" fillId="0" borderId="0" xfId="0" applyNumberFormat="1" applyAlignment="1">
      <alignment horizontal="right"/>
    </xf>
    <xf numFmtId="164" fontId="0" fillId="0" borderId="0" xfId="0" applyNumberFormat="1"/>
    <xf numFmtId="0" fontId="0" fillId="0" borderId="0" xfId="0" applyAlignment="1">
      <alignment wrapText="1"/>
    </xf>
    <xf numFmtId="164" fontId="1" fillId="0" borderId="0" xfId="0" applyNumberFormat="1" applyFont="1" applyAlignment="1">
      <alignment horizontal="right"/>
    </xf>
    <xf numFmtId="0" fontId="0" fillId="0" borderId="0" xfId="0" applyAlignment="1">
      <alignment horizontal="center"/>
    </xf>
    <xf numFmtId="0" fontId="0" fillId="0" borderId="0" xfId="0" applyAlignment="1">
      <alignment horizontal="right"/>
    </xf>
    <xf numFmtId="165" fontId="0" fillId="0" borderId="0" xfId="1" applyNumberFormat="1" applyFont="1" applyAlignment="1">
      <alignment horizontal="right"/>
    </xf>
    <xf numFmtId="0" fontId="3" fillId="0" borderId="0" xfId="0" applyFont="1" applyAlignment="1">
      <alignment vertical="center" wrapText="1"/>
    </xf>
    <xf numFmtId="8" fontId="3" fillId="0" borderId="0" xfId="0" applyNumberFormat="1" applyFont="1" applyAlignment="1">
      <alignment horizontal="right" vertical="center" wrapText="1"/>
    </xf>
    <xf numFmtId="0" fontId="0" fillId="0" borderId="0" xfId="0" applyFont="1" applyAlignment="1">
      <alignment vertical="center" wrapText="1"/>
    </xf>
    <xf numFmtId="0" fontId="0" fillId="0" borderId="0" xfId="0" applyFont="1"/>
    <xf numFmtId="166" fontId="0" fillId="0" borderId="0" xfId="0" applyNumberFormat="1"/>
    <xf numFmtId="0" fontId="4" fillId="0" borderId="0" xfId="0" applyFont="1"/>
    <xf numFmtId="0" fontId="0" fillId="0" borderId="0" xfId="0" applyAlignment="1">
      <alignment horizontal="left"/>
    </xf>
    <xf numFmtId="8" fontId="0" fillId="0" borderId="0" xfId="0" applyNumberFormat="1"/>
    <xf numFmtId="0" fontId="1" fillId="0" borderId="0" xfId="0" applyFont="1" applyAlignment="1">
      <alignment horizontal="left"/>
    </xf>
    <xf numFmtId="166" fontId="0" fillId="0" borderId="0" xfId="1" applyNumberFormat="1" applyFont="1" applyAlignment="1">
      <alignment horizontal="right"/>
    </xf>
    <xf numFmtId="166" fontId="0" fillId="0" borderId="0" xfId="0" applyNumberFormat="1" applyAlignment="1">
      <alignment horizontal="right"/>
    </xf>
    <xf numFmtId="0" fontId="0"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horizontal="left"/>
    </xf>
    <xf numFmtId="0" fontId="5" fillId="0" borderId="0" xfId="0" applyFont="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2" borderId="0" xfId="0" applyFont="1" applyFill="1" applyAlignment="1">
      <alignment horizontal="left"/>
    </xf>
    <xf numFmtId="0" fontId="0" fillId="2" borderId="0" xfId="0" applyFont="1" applyFill="1" applyAlignment="1">
      <alignment horizontal="center"/>
    </xf>
    <xf numFmtId="164" fontId="0" fillId="2" borderId="0" xfId="0" applyNumberFormat="1" applyFont="1" applyFill="1" applyAlignment="1">
      <alignment horizontal="right"/>
    </xf>
    <xf numFmtId="164" fontId="1" fillId="2" borderId="0" xfId="0" applyNumberFormat="1" applyFont="1" applyFill="1" applyAlignment="1">
      <alignment horizontal="right"/>
    </xf>
    <xf numFmtId="0" fontId="0" fillId="2" borderId="0" xfId="0" applyFill="1"/>
    <xf numFmtId="0" fontId="0" fillId="0" borderId="0" xfId="0" applyAlignment="1">
      <alignment horizontal="right" vertical="center"/>
    </xf>
    <xf numFmtId="164" fontId="0" fillId="0" borderId="0" xfId="0" applyNumberFormat="1" applyAlignment="1">
      <alignment horizontal="right" vertical="center"/>
    </xf>
    <xf numFmtId="0" fontId="0" fillId="0" borderId="0" xfId="0" applyFont="1" applyAlignment="1">
      <alignment horizontal="right" vertical="center"/>
    </xf>
    <xf numFmtId="0" fontId="1" fillId="0" borderId="1" xfId="0" applyFont="1" applyBorder="1" applyAlignment="1">
      <alignment horizontal="center"/>
    </xf>
    <xf numFmtId="0" fontId="1" fillId="2" borderId="0" xfId="0" applyFont="1" applyFill="1"/>
    <xf numFmtId="0" fontId="0" fillId="2" borderId="0" xfId="0" applyFill="1" applyAlignment="1">
      <alignment horizontal="right" vertical="center"/>
    </xf>
    <xf numFmtId="0" fontId="0" fillId="2" borderId="0" xfId="0" applyFill="1" applyAlignment="1">
      <alignment horizontal="center" vertical="center"/>
    </xf>
    <xf numFmtId="164" fontId="0" fillId="0" borderId="0" xfId="0" applyNumberFormat="1" applyAlignment="1">
      <alignment horizontal="right" vertical="center" indent="1"/>
    </xf>
    <xf numFmtId="164" fontId="1" fillId="2" borderId="0" xfId="0" applyNumberFormat="1" applyFont="1" applyFill="1" applyAlignment="1">
      <alignment horizontal="right" vertical="center" indent="1"/>
    </xf>
    <xf numFmtId="164" fontId="0" fillId="0" borderId="0" xfId="0" applyNumberFormat="1" applyFont="1" applyAlignment="1">
      <alignment horizontal="right" vertical="center" indent="1"/>
    </xf>
    <xf numFmtId="164" fontId="1" fillId="0" borderId="0" xfId="0" applyNumberFormat="1" applyFont="1" applyAlignment="1">
      <alignment horizontal="right" vertical="center" indent="1"/>
    </xf>
    <xf numFmtId="3" fontId="0" fillId="0" borderId="0" xfId="0" applyNumberFormat="1" applyAlignment="1">
      <alignment horizontal="right" indent="1"/>
    </xf>
    <xf numFmtId="3" fontId="0" fillId="0" borderId="0" xfId="1" applyNumberFormat="1" applyFont="1" applyAlignment="1">
      <alignment horizontal="right" indent="1"/>
    </xf>
    <xf numFmtId="0" fontId="6" fillId="3" borderId="0" xfId="0" applyFont="1" applyFill="1"/>
    <xf numFmtId="0" fontId="7" fillId="3" borderId="0" xfId="0" applyFont="1" applyFill="1"/>
    <xf numFmtId="0" fontId="0" fillId="0" borderId="0" xfId="0" applyFill="1"/>
    <xf numFmtId="0" fontId="6" fillId="0" borderId="0" xfId="0" applyFont="1" applyFill="1"/>
    <xf numFmtId="0" fontId="7" fillId="0" borderId="0" xfId="0" applyFont="1" applyFill="1"/>
    <xf numFmtId="9" fontId="1" fillId="2" borderId="0" xfId="0" applyNumberFormat="1" applyFont="1" applyFill="1" applyAlignment="1">
      <alignment horizontal="right" vertical="center" indent="1"/>
    </xf>
    <xf numFmtId="167" fontId="1" fillId="0" borderId="0" xfId="0" applyNumberFormat="1" applyFont="1" applyAlignment="1">
      <alignment horizontal="center" vertical="center" wrapText="1"/>
    </xf>
    <xf numFmtId="167" fontId="1" fillId="0" borderId="0" xfId="0" applyNumberFormat="1" applyFont="1" applyFill="1" applyBorder="1" applyAlignment="1">
      <alignment horizontal="center" vertical="center" wrapText="1"/>
    </xf>
    <xf numFmtId="167" fontId="1" fillId="0" borderId="0" xfId="0" applyNumberFormat="1" applyFont="1" applyAlignment="1">
      <alignment vertical="center"/>
    </xf>
    <xf numFmtId="167" fontId="1" fillId="0" borderId="1" xfId="0" applyNumberFormat="1" applyFont="1" applyBorder="1" applyAlignment="1">
      <alignment horizontal="center" vertical="center" wrapText="1"/>
    </xf>
    <xf numFmtId="167" fontId="1" fillId="0" borderId="1" xfId="0" applyNumberFormat="1" applyFont="1" applyFill="1" applyBorder="1" applyAlignment="1">
      <alignment horizontal="center" vertical="center" wrapText="1"/>
    </xf>
    <xf numFmtId="167" fontId="1" fillId="0" borderId="1" xfId="0" applyNumberFormat="1" applyFont="1" applyBorder="1" applyAlignment="1">
      <alignment vertical="center"/>
    </xf>
    <xf numFmtId="0" fontId="0" fillId="0" borderId="1" xfId="0" applyBorder="1"/>
    <xf numFmtId="0" fontId="1" fillId="0" borderId="2" xfId="0" applyFont="1" applyBorder="1"/>
    <xf numFmtId="0" fontId="8" fillId="4" borderId="0" xfId="0" applyFont="1" applyFill="1" applyBorder="1" applyAlignment="1">
      <alignment horizontal="left" indent="2"/>
    </xf>
    <xf numFmtId="0" fontId="0" fillId="0" borderId="0" xfId="0" applyBorder="1"/>
    <xf numFmtId="0" fontId="8" fillId="4" borderId="1" xfId="0" applyFont="1" applyFill="1" applyBorder="1" applyAlignment="1">
      <alignment horizontal="left" indent="2"/>
    </xf>
    <xf numFmtId="0" fontId="0" fillId="0" borderId="0" xfId="0" applyBorder="1" applyAlignment="1">
      <alignment horizontal="left" indent="1"/>
    </xf>
    <xf numFmtId="3" fontId="0" fillId="0" borderId="0" xfId="0" applyNumberFormat="1"/>
    <xf numFmtId="0" fontId="0" fillId="2" borderId="0" xfId="0" applyFill="1" applyAlignment="1">
      <alignment horizontal="center"/>
    </xf>
    <xf numFmtId="3" fontId="0" fillId="0" borderId="0" xfId="0" applyNumberFormat="1" applyAlignment="1">
      <alignment horizontal="right"/>
    </xf>
    <xf numFmtId="0" fontId="0" fillId="0" borderId="0" xfId="0" applyAlignment="1">
      <alignment horizontal="left" indent="1"/>
    </xf>
    <xf numFmtId="0" fontId="1" fillId="0" borderId="3" xfId="0" applyFont="1" applyBorder="1"/>
    <xf numFmtId="0" fontId="1" fillId="0" borderId="1" xfId="0" applyFont="1" applyBorder="1"/>
    <xf numFmtId="0" fontId="1" fillId="0" borderId="0" xfId="0" applyFont="1" applyBorder="1"/>
    <xf numFmtId="0" fontId="0" fillId="0" borderId="2" xfId="0" applyFont="1" applyBorder="1"/>
    <xf numFmtId="0" fontId="0" fillId="0" borderId="0" xfId="0" applyFont="1" applyBorder="1"/>
    <xf numFmtId="0" fontId="0" fillId="0" borderId="1" xfId="0" applyFont="1" applyBorder="1"/>
    <xf numFmtId="168" fontId="0" fillId="0" borderId="0" xfId="0" applyNumberFormat="1" applyFont="1" applyAlignment="1">
      <alignment horizontal="center"/>
    </xf>
    <xf numFmtId="168" fontId="0" fillId="0" borderId="0" xfId="0" applyNumberFormat="1" applyFont="1"/>
    <xf numFmtId="169" fontId="1" fillId="0" borderId="2" xfId="0" applyNumberFormat="1" applyFont="1" applyBorder="1"/>
    <xf numFmtId="169" fontId="8" fillId="4" borderId="0" xfId="0" applyNumberFormat="1" applyFont="1" applyFill="1" applyBorder="1"/>
    <xf numFmtId="169" fontId="0" fillId="0" borderId="0" xfId="0" applyNumberFormat="1" applyBorder="1"/>
    <xf numFmtId="169" fontId="8" fillId="4" borderId="1" xfId="0" applyNumberFormat="1" applyFont="1" applyFill="1" applyBorder="1"/>
    <xf numFmtId="169" fontId="0" fillId="0" borderId="2" xfId="0" applyNumberFormat="1" applyBorder="1"/>
    <xf numFmtId="169" fontId="1" fillId="0" borderId="0" xfId="0" applyNumberFormat="1" applyFont="1"/>
    <xf numFmtId="169" fontId="1" fillId="0" borderId="1" xfId="0" applyNumberFormat="1" applyFont="1" applyBorder="1"/>
    <xf numFmtId="169" fontId="0" fillId="0" borderId="0" xfId="0" applyNumberFormat="1"/>
    <xf numFmtId="169" fontId="0" fillId="0" borderId="1" xfId="0" applyNumberFormat="1" applyBorder="1" applyAlignment="1">
      <alignment horizontal="right"/>
    </xf>
    <xf numFmtId="169" fontId="0" fillId="0" borderId="1" xfId="0" applyNumberFormat="1" applyBorder="1"/>
    <xf numFmtId="169" fontId="1" fillId="0" borderId="3" xfId="0" applyNumberFormat="1" applyFont="1" applyBorder="1"/>
    <xf numFmtId="3" fontId="0" fillId="2" borderId="0" xfId="0" applyNumberFormat="1" applyFont="1" applyFill="1" applyAlignment="1">
      <alignment horizontal="right"/>
    </xf>
    <xf numFmtId="3" fontId="0" fillId="0" borderId="0" xfId="0" applyNumberFormat="1" applyFont="1" applyAlignment="1">
      <alignment horizontal="right"/>
    </xf>
    <xf numFmtId="3" fontId="0" fillId="0" borderId="0" xfId="0" applyNumberFormat="1" applyFont="1" applyAlignment="1">
      <alignment horizontal="right" vertical="center" indent="1"/>
    </xf>
    <xf numFmtId="3" fontId="1" fillId="0" borderId="1" xfId="0" applyNumberFormat="1" applyFont="1" applyBorder="1" applyAlignment="1">
      <alignment horizontal="center" vertical="center" wrapText="1"/>
    </xf>
    <xf numFmtId="3" fontId="0" fillId="0" borderId="0" xfId="0" applyNumberFormat="1" applyAlignment="1">
      <alignment horizontal="right" vertical="center" indent="1"/>
    </xf>
    <xf numFmtId="3" fontId="9" fillId="0" borderId="0" xfId="0" applyNumberFormat="1" applyFont="1" applyAlignment="1">
      <alignment horizontal="right" vertical="center" indent="1"/>
    </xf>
    <xf numFmtId="9" fontId="9" fillId="0" borderId="0" xfId="0" applyNumberFormat="1" applyFont="1" applyAlignment="1">
      <alignment horizontal="right" vertical="center"/>
    </xf>
    <xf numFmtId="3" fontId="9" fillId="0" borderId="0" xfId="0" applyNumberFormat="1" applyFont="1" applyAlignment="1">
      <alignment horizontal="right" vertical="center"/>
    </xf>
    <xf numFmtId="0" fontId="0" fillId="0" borderId="0" xfId="0" applyAlignment="1">
      <alignment vertical="center"/>
    </xf>
    <xf numFmtId="3" fontId="10" fillId="0" borderId="0" xfId="0" applyNumberFormat="1" applyFont="1" applyAlignment="1">
      <alignment horizontal="right" vertical="center"/>
    </xf>
    <xf numFmtId="165" fontId="0" fillId="0" borderId="0" xfId="1" applyNumberFormat="1" applyFont="1" applyAlignment="1">
      <alignment horizontal="right" vertical="center"/>
    </xf>
    <xf numFmtId="164" fontId="0" fillId="0" borderId="0" xfId="0" applyNumberFormat="1" applyFont="1" applyAlignment="1">
      <alignment horizontal="right" vertical="center"/>
    </xf>
    <xf numFmtId="0" fontId="0" fillId="0" borderId="0" xfId="0" applyFont="1" applyAlignment="1">
      <alignment horizontal="left" vertical="center"/>
    </xf>
    <xf numFmtId="169" fontId="1" fillId="0" borderId="0" xfId="0" applyNumberFormat="1" applyFont="1" applyBorder="1"/>
    <xf numFmtId="168" fontId="0" fillId="2" borderId="0" xfId="0" applyNumberFormat="1" applyFont="1" applyFill="1" applyAlignment="1">
      <alignment horizontal="center"/>
    </xf>
    <xf numFmtId="166" fontId="0" fillId="2" borderId="0" xfId="0" applyNumberFormat="1" applyFont="1" applyFill="1" applyAlignment="1">
      <alignment horizontal="center"/>
    </xf>
    <xf numFmtId="166" fontId="0" fillId="2" borderId="0" xfId="0" applyNumberFormat="1" applyFont="1" applyFill="1"/>
    <xf numFmtId="0" fontId="1" fillId="2" borderId="0" xfId="0" applyFont="1" applyFill="1" applyAlignment="1">
      <alignment horizontal="center"/>
    </xf>
    <xf numFmtId="43" fontId="1" fillId="2" borderId="0" xfId="1" applyFont="1" applyFill="1" applyAlignment="1">
      <alignment horizontal="center"/>
    </xf>
    <xf numFmtId="2" fontId="0" fillId="2" borderId="0" xfId="0" applyNumberFormat="1" applyFont="1" applyFill="1" applyAlignment="1">
      <alignment horizontal="center"/>
    </xf>
    <xf numFmtId="2" fontId="0" fillId="2" borderId="0" xfId="0" applyNumberFormat="1" applyFont="1" applyFill="1"/>
    <xf numFmtId="3" fontId="0" fillId="2" borderId="0" xfId="0" applyNumberFormat="1" applyFont="1" applyFill="1" applyAlignment="1">
      <alignment horizontal="center"/>
    </xf>
    <xf numFmtId="3" fontId="0" fillId="2" borderId="0" xfId="0" applyNumberFormat="1" applyFont="1" applyFill="1"/>
    <xf numFmtId="168" fontId="0" fillId="0" borderId="4" xfId="0" applyNumberFormat="1" applyFont="1" applyBorder="1" applyAlignment="1">
      <alignment horizontal="center"/>
    </xf>
    <xf numFmtId="168" fontId="0" fillId="0" borderId="4" xfId="0" applyNumberFormat="1" applyFont="1" applyBorder="1"/>
    <xf numFmtId="165" fontId="9" fillId="0" borderId="0" xfId="1" applyNumberFormat="1" applyFont="1" applyAlignment="1">
      <alignment horizontal="right" vertical="center"/>
    </xf>
    <xf numFmtId="9" fontId="9" fillId="0" borderId="0" xfId="0" applyNumberFormat="1" applyFont="1" applyAlignment="1">
      <alignment horizontal="right" vertical="center" indent="1"/>
    </xf>
    <xf numFmtId="0" fontId="9" fillId="0" borderId="0" xfId="0" applyFont="1"/>
    <xf numFmtId="9" fontId="9" fillId="0" borderId="0" xfId="0" applyNumberFormat="1" applyFont="1" applyAlignment="1">
      <alignment vertical="center"/>
    </xf>
    <xf numFmtId="0" fontId="9" fillId="0" borderId="0" xfId="0" applyFont="1" applyAlignment="1">
      <alignment vertical="center"/>
    </xf>
    <xf numFmtId="0" fontId="9" fillId="0" borderId="0" xfId="0" applyFont="1" applyAlignment="1">
      <alignment horizontal="center"/>
    </xf>
    <xf numFmtId="3" fontId="9" fillId="0" borderId="0" xfId="0" applyNumberFormat="1" applyFont="1" applyAlignment="1">
      <alignment horizontal="right" indent="1"/>
    </xf>
    <xf numFmtId="0" fontId="0" fillId="5" borderId="0" xfId="0" applyFill="1"/>
    <xf numFmtId="0" fontId="0" fillId="5" borderId="0" xfId="0" applyFill="1" applyAlignment="1">
      <alignment horizontal="center" vertical="center"/>
    </xf>
    <xf numFmtId="164" fontId="0" fillId="5" borderId="0" xfId="0" applyNumberFormat="1" applyFill="1" applyAlignment="1">
      <alignment horizontal="right" vertical="center"/>
    </xf>
    <xf numFmtId="0" fontId="0" fillId="5" borderId="0" xfId="0" applyFill="1" applyAlignment="1">
      <alignment wrapText="1"/>
    </xf>
    <xf numFmtId="170" fontId="8" fillId="4" borderId="0" xfId="0" applyNumberFormat="1" applyFont="1" applyFill="1" applyBorder="1"/>
    <xf numFmtId="0" fontId="8" fillId="0" borderId="0" xfId="0" applyFont="1" applyAlignment="1">
      <alignment horizontal="left" indent="2"/>
    </xf>
    <xf numFmtId="171" fontId="0" fillId="0" borderId="0" xfId="0" applyNumberFormat="1"/>
    <xf numFmtId="0" fontId="6" fillId="6" borderId="0" xfId="0" applyFont="1" applyFill="1"/>
    <xf numFmtId="0" fontId="0" fillId="0" borderId="0" xfId="0" applyAlignment="1">
      <alignment horizontal="left" indent="2"/>
    </xf>
    <xf numFmtId="0" fontId="14" fillId="7" borderId="0" xfId="0" applyFont="1" applyFill="1" applyAlignment="1">
      <alignment horizontal="left"/>
    </xf>
    <xf numFmtId="0" fontId="14" fillId="7" borderId="0" xfId="0" applyFont="1" applyFill="1" applyAlignment="1">
      <alignment horizontal="left" vertical="center"/>
    </xf>
    <xf numFmtId="169" fontId="1" fillId="0" borderId="0" xfId="0" applyNumberFormat="1" applyFont="1" applyFill="1"/>
    <xf numFmtId="0" fontId="8" fillId="0" borderId="0" xfId="0" applyFont="1" applyAlignment="1">
      <alignment horizontal="left" indent="3"/>
    </xf>
    <xf numFmtId="0" fontId="15" fillId="0" borderId="0" xfId="0" applyFont="1"/>
    <xf numFmtId="0" fontId="16" fillId="0" borderId="0" xfId="0" applyFont="1" applyAlignment="1">
      <alignment horizontal="center"/>
    </xf>
    <xf numFmtId="0" fontId="16" fillId="0" borderId="0" xfId="0" applyFont="1"/>
    <xf numFmtId="0" fontId="16" fillId="0" borderId="1" xfId="0" applyFont="1" applyBorder="1" applyAlignment="1">
      <alignment horizontal="left"/>
    </xf>
    <xf numFmtId="0" fontId="15" fillId="0" borderId="1" xfId="0" applyFont="1" applyBorder="1"/>
    <xf numFmtId="0" fontId="16" fillId="0" borderId="1" xfId="0" applyFont="1" applyBorder="1" applyAlignment="1">
      <alignment horizontal="center"/>
    </xf>
    <xf numFmtId="0" fontId="16" fillId="0" borderId="1" xfId="0" applyFont="1" applyBorder="1" applyAlignment="1">
      <alignment horizontal="center" wrapText="1"/>
    </xf>
    <xf numFmtId="0" fontId="16" fillId="0" borderId="1" xfId="0" applyFont="1" applyBorder="1" applyAlignment="1">
      <alignment horizontal="centerContinuous"/>
    </xf>
    <xf numFmtId="0" fontId="15" fillId="0" borderId="1" xfId="0" applyFont="1" applyBorder="1" applyAlignment="1">
      <alignment horizontal="centerContinuous"/>
    </xf>
    <xf numFmtId="0" fontId="16" fillId="0" borderId="0" xfId="0" applyFont="1" applyAlignment="1">
      <alignment horizontal="centerContinuous"/>
    </xf>
    <xf numFmtId="0" fontId="15" fillId="0" borderId="0" xfId="0" applyFont="1" applyAlignment="1">
      <alignment horizontal="left"/>
    </xf>
    <xf numFmtId="9" fontId="15" fillId="0" borderId="0" xfId="0" applyNumberFormat="1" applyFont="1" applyAlignment="1">
      <alignment horizontal="center" vertical="center"/>
    </xf>
    <xf numFmtId="166" fontId="17" fillId="2" borderId="0" xfId="0" applyNumberFormat="1" applyFont="1" applyFill="1" applyAlignment="1">
      <alignment horizontal="center" vertical="center"/>
    </xf>
    <xf numFmtId="168" fontId="15" fillId="2" borderId="0" xfId="0" applyNumberFormat="1" applyFont="1" applyFill="1" applyAlignment="1">
      <alignment horizontal="center"/>
    </xf>
    <xf numFmtId="166" fontId="15" fillId="2" borderId="0" xfId="0" applyNumberFormat="1" applyFont="1" applyFill="1" applyAlignment="1">
      <alignment horizontal="center"/>
    </xf>
    <xf numFmtId="166" fontId="15" fillId="2" borderId="0" xfId="0" applyNumberFormat="1" applyFont="1" applyFill="1"/>
    <xf numFmtId="169" fontId="15" fillId="0" borderId="0" xfId="0" applyNumberFormat="1" applyFont="1" applyBorder="1" applyAlignment="1">
      <alignment horizontal="center"/>
    </xf>
    <xf numFmtId="0" fontId="16" fillId="2" borderId="0" xfId="0" applyFont="1" applyFill="1" applyAlignment="1">
      <alignment horizontal="center"/>
    </xf>
    <xf numFmtId="168" fontId="15" fillId="0" borderId="4" xfId="0" applyNumberFormat="1" applyFont="1" applyBorder="1" applyAlignment="1">
      <alignment horizontal="center"/>
    </xf>
    <xf numFmtId="168" fontId="15" fillId="0" borderId="0" xfId="0" applyNumberFormat="1" applyFont="1" applyAlignment="1">
      <alignment horizontal="center"/>
    </xf>
    <xf numFmtId="168" fontId="15" fillId="0" borderId="0" xfId="0" applyNumberFormat="1" applyFont="1"/>
    <xf numFmtId="167" fontId="16" fillId="0" borderId="0" xfId="0" applyNumberFormat="1" applyFont="1" applyBorder="1" applyAlignment="1">
      <alignment horizontal="center" vertical="center" wrapText="1"/>
    </xf>
    <xf numFmtId="0" fontId="15" fillId="0" borderId="0" xfId="0" applyFont="1" applyFill="1"/>
    <xf numFmtId="0" fontId="15" fillId="0" borderId="0" xfId="0" applyFont="1" applyAlignment="1">
      <alignment horizontal="center" vertical="center"/>
    </xf>
    <xf numFmtId="43" fontId="16" fillId="2" borderId="0" xfId="1" applyFont="1" applyFill="1" applyAlignment="1">
      <alignment horizontal="center"/>
    </xf>
    <xf numFmtId="0" fontId="15" fillId="0" borderId="0" xfId="0" applyFont="1" applyBorder="1"/>
    <xf numFmtId="0" fontId="15" fillId="0" borderId="0" xfId="0" applyFont="1" applyAlignment="1">
      <alignment horizontal="center"/>
    </xf>
    <xf numFmtId="0" fontId="15" fillId="0" borderId="1" xfId="0" applyFont="1" applyBorder="1" applyAlignment="1">
      <alignment horizontal="center" vertical="center"/>
    </xf>
    <xf numFmtId="2" fontId="15" fillId="2" borderId="0" xfId="0" applyNumberFormat="1" applyFont="1" applyFill="1" applyAlignment="1">
      <alignment horizontal="center"/>
    </xf>
    <xf numFmtId="2" fontId="15" fillId="2" borderId="0" xfId="0" applyNumberFormat="1" applyFont="1" applyFill="1"/>
    <xf numFmtId="168" fontId="15" fillId="0" borderId="4" xfId="0" applyNumberFormat="1" applyFont="1" applyBorder="1"/>
    <xf numFmtId="166" fontId="15" fillId="0" borderId="0" xfId="0" applyNumberFormat="1" applyFont="1" applyAlignment="1">
      <alignment horizontal="center"/>
    </xf>
    <xf numFmtId="3" fontId="15" fillId="2" borderId="0" xfId="0" applyNumberFormat="1" applyFont="1" applyFill="1" applyAlignment="1">
      <alignment horizontal="center"/>
    </xf>
    <xf numFmtId="3" fontId="15" fillId="2" borderId="0" xfId="0" applyNumberFormat="1" applyFont="1" applyFill="1"/>
    <xf numFmtId="169" fontId="15" fillId="0" borderId="0" xfId="0" applyNumberFormat="1" applyFont="1" applyAlignment="1">
      <alignment horizontal="center"/>
    </xf>
    <xf numFmtId="169" fontId="15" fillId="0" borderId="0" xfId="0" applyNumberFormat="1" applyFont="1"/>
    <xf numFmtId="166" fontId="18" fillId="2" borderId="0" xfId="0" applyNumberFormat="1" applyFont="1" applyFill="1" applyAlignment="1">
      <alignment horizontal="center" vertical="center"/>
    </xf>
    <xf numFmtId="0" fontId="18" fillId="2" borderId="0" xfId="0" applyFont="1" applyFill="1" applyAlignment="1">
      <alignment horizontal="center" vertical="center"/>
    </xf>
    <xf numFmtId="164" fontId="18" fillId="2" borderId="0" xfId="0" applyNumberFormat="1" applyFont="1" applyFill="1" applyAlignment="1">
      <alignment horizontal="center" vertical="center"/>
    </xf>
    <xf numFmtId="3" fontId="18" fillId="2" borderId="0" xfId="0" applyNumberFormat="1" applyFont="1" applyFill="1" applyAlignment="1">
      <alignment horizontal="center" vertical="center"/>
    </xf>
    <xf numFmtId="166" fontId="18" fillId="2" borderId="1" xfId="0" applyNumberFormat="1" applyFont="1" applyFill="1" applyBorder="1" applyAlignment="1">
      <alignment horizontal="center" vertical="center"/>
    </xf>
    <xf numFmtId="0" fontId="19" fillId="7" borderId="0" xfId="0" applyFont="1" applyFill="1"/>
    <xf numFmtId="0" fontId="20" fillId="7" borderId="0" xfId="0" applyFont="1" applyFill="1"/>
    <xf numFmtId="0" fontId="1" fillId="8" borderId="1" xfId="0" applyFont="1" applyFill="1" applyBorder="1" applyAlignment="1">
      <alignment horizontal="centerContinuous"/>
    </xf>
    <xf numFmtId="0" fontId="0" fillId="8" borderId="1" xfId="0" applyFill="1" applyBorder="1" applyAlignment="1">
      <alignment horizontal="centerContinuous"/>
    </xf>
    <xf numFmtId="166" fontId="22" fillId="8" borderId="0" xfId="0" applyNumberFormat="1" applyFont="1" applyFill="1" applyAlignment="1">
      <alignment horizontal="center" vertical="center"/>
    </xf>
    <xf numFmtId="0" fontId="22" fillId="8" borderId="0" xfId="0" applyFont="1" applyFill="1" applyAlignment="1">
      <alignment horizontal="center" vertical="center"/>
    </xf>
    <xf numFmtId="164" fontId="22" fillId="8" borderId="0" xfId="0" applyNumberFormat="1" applyFont="1" applyFill="1" applyAlignment="1">
      <alignment horizontal="center" vertical="center"/>
    </xf>
    <xf numFmtId="3" fontId="22" fillId="8" borderId="0" xfId="0" applyNumberFormat="1" applyFont="1" applyFill="1" applyAlignment="1">
      <alignment horizontal="center" vertical="center"/>
    </xf>
    <xf numFmtId="166" fontId="22" fillId="8" borderId="1" xfId="0" applyNumberFormat="1" applyFont="1" applyFill="1" applyBorder="1" applyAlignment="1">
      <alignment horizontal="center" vertical="center"/>
    </xf>
    <xf numFmtId="168" fontId="22" fillId="8" borderId="0" xfId="0" applyNumberFormat="1" applyFont="1" applyFill="1" applyAlignment="1">
      <alignment horizontal="center"/>
    </xf>
    <xf numFmtId="166" fontId="22" fillId="8" borderId="0" xfId="0" applyNumberFormat="1" applyFont="1" applyFill="1" applyAlignment="1">
      <alignment horizontal="center"/>
    </xf>
    <xf numFmtId="164" fontId="18" fillId="9" borderId="0" xfId="0" applyNumberFormat="1" applyFont="1" applyFill="1" applyAlignment="1">
      <alignment horizontal="center" vertical="center"/>
    </xf>
    <xf numFmtId="0" fontId="18" fillId="9" borderId="0" xfId="0" applyFont="1" applyFill="1" applyAlignment="1">
      <alignment horizontal="center" vertical="center"/>
    </xf>
    <xf numFmtId="3" fontId="18" fillId="9" borderId="0" xfId="0" applyNumberFormat="1" applyFont="1" applyFill="1" applyAlignment="1">
      <alignment horizontal="center" vertical="center"/>
    </xf>
    <xf numFmtId="166" fontId="18" fillId="9" borderId="1" xfId="0" applyNumberFormat="1" applyFont="1" applyFill="1" applyBorder="1" applyAlignment="1">
      <alignment horizontal="center" vertical="center"/>
    </xf>
    <xf numFmtId="0" fontId="15" fillId="4" borderId="0" xfId="0" applyFont="1" applyFill="1"/>
    <xf numFmtId="0" fontId="23" fillId="4" borderId="0" xfId="0" applyFont="1" applyFill="1" applyAlignment="1">
      <alignment vertical="center"/>
    </xf>
    <xf numFmtId="0" fontId="21" fillId="8" borderId="0" xfId="0" applyFont="1" applyFill="1" applyBorder="1" applyAlignment="1">
      <alignment horizontal="center" vertical="center"/>
    </xf>
    <xf numFmtId="0" fontId="21" fillId="8" borderId="1" xfId="0" applyFont="1" applyFill="1" applyBorder="1" applyAlignment="1">
      <alignment horizontal="center" vertical="center"/>
    </xf>
    <xf numFmtId="0" fontId="16" fillId="0" borderId="0" xfId="0" applyFont="1" applyBorder="1" applyAlignment="1">
      <alignment horizontal="center" vertical="center"/>
    </xf>
    <xf numFmtId="0" fontId="16" fillId="0" borderId="1" xfId="0" applyFont="1" applyBorder="1" applyAlignment="1">
      <alignment horizontal="center" vertical="center"/>
    </xf>
    <xf numFmtId="0" fontId="23" fillId="4" borderId="0" xfId="0" applyFont="1" applyFill="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Nova" panose="020B0504020202020204" pitchFamily="34" charset="0"/>
                <a:ea typeface="+mn-ea"/>
                <a:cs typeface="+mn-cs"/>
              </a:defRPr>
            </a:pPr>
            <a:r>
              <a:rPr lang="en-US">
                <a:solidFill>
                  <a:schemeClr val="accent1"/>
                </a:solidFill>
                <a:latin typeface="Arial Black" panose="020B0A04020102020204" pitchFamily="34" charset="0"/>
              </a:rPr>
              <a:t>Net Lending / Borrowing</a:t>
            </a:r>
          </a:p>
        </c:rich>
      </c:tx>
      <c:layout>
        <c:manualLayout>
          <c:xMode val="edge"/>
          <c:yMode val="edge"/>
          <c:x val="8.776263512146501E-2"/>
          <c:y val="1.2467530427646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Nova" panose="020B0504020202020204" pitchFamily="34" charset="0"/>
              <a:ea typeface="+mn-ea"/>
              <a:cs typeface="+mn-cs"/>
            </a:defRPr>
          </a:pPr>
          <a:endParaRPr lang="en-US"/>
        </a:p>
      </c:txPr>
    </c:title>
    <c:autoTitleDeleted val="0"/>
    <c:plotArea>
      <c:layout>
        <c:manualLayout>
          <c:layoutTarget val="inner"/>
          <c:xMode val="edge"/>
          <c:yMode val="edge"/>
          <c:x val="0.12042825896762901"/>
          <c:y val="8.540824571558947E-2"/>
          <c:w val="0.84346062992125981"/>
          <c:h val="0.85702507828557817"/>
        </c:manualLayout>
      </c:layout>
      <c:lineChart>
        <c:grouping val="standard"/>
        <c:varyColors val="0"/>
        <c:ser>
          <c:idx val="6"/>
          <c:order val="0"/>
          <c:tx>
            <c:strRef>
              <c:f>'Sensitivity 2'!$BC$3</c:f>
              <c:strCache>
                <c:ptCount val="1"/>
                <c:pt idx="0">
                  <c:v>Combined</c:v>
                </c:pt>
              </c:strCache>
            </c:strRef>
          </c:tx>
          <c:spPr>
            <a:ln w="28575" cap="rnd">
              <a:solidFill>
                <a:schemeClr val="accent1">
                  <a:lumMod val="60000"/>
                </a:schemeClr>
              </a:solidFill>
              <a:round/>
            </a:ln>
            <a:effectLst/>
          </c:spPr>
          <c:marker>
            <c:symbol val="none"/>
          </c:marker>
          <c:val>
            <c:numRef>
              <c:f>'Sensitivity 2'!$BC$4:$BC$27</c:f>
              <c:numCache>
                <c:formatCode>#,##0,;\(#,##0,\);\-\-</c:formatCode>
                <c:ptCount val="24"/>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numCache>
            </c:numRef>
          </c:val>
          <c:smooth val="0"/>
          <c:extLst>
            <c:ext xmlns:c16="http://schemas.microsoft.com/office/drawing/2014/chart" uri="{C3380CC4-5D6E-409C-BE32-E72D297353CC}">
              <c16:uniqueId val="{00000002-3F93-481F-ABFE-7DA98B000129}"/>
            </c:ext>
          </c:extLst>
        </c:ser>
        <c:ser>
          <c:idx val="1"/>
          <c:order val="1"/>
          <c:tx>
            <c:strRef>
              <c:f>'Sensitivity 2'!$BB$3</c:f>
              <c:strCache>
                <c:ptCount val="1"/>
                <c:pt idx="0">
                  <c:v>Subsidy Policy</c:v>
                </c:pt>
              </c:strCache>
            </c:strRef>
          </c:tx>
          <c:spPr>
            <a:ln w="28575" cap="rnd">
              <a:solidFill>
                <a:schemeClr val="accent2"/>
              </a:solidFill>
              <a:round/>
            </a:ln>
            <a:effectLst/>
          </c:spPr>
          <c:marker>
            <c:symbol val="none"/>
          </c:marker>
          <c:cat>
            <c:numRef>
              <c:f>'Sensitivity 2'!$AV$4:$AV$28</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2'!$BB$4:$BB$28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1-EFCE-467F-B333-9DC64886A0E5}"/>
            </c:ext>
          </c:extLst>
        </c:ser>
        <c:ser>
          <c:idx val="4"/>
          <c:order val="2"/>
          <c:tx>
            <c:strRef>
              <c:f>'Sensitivity 2'!$BA$3</c:f>
              <c:strCache>
                <c:ptCount val="1"/>
                <c:pt idx="0">
                  <c:v>Price Risk</c:v>
                </c:pt>
              </c:strCache>
            </c:strRef>
          </c:tx>
          <c:spPr>
            <a:ln w="28575" cap="rnd">
              <a:solidFill>
                <a:schemeClr val="accent5"/>
              </a:solidFill>
              <a:round/>
            </a:ln>
            <a:effectLst/>
          </c:spPr>
          <c:marker>
            <c:symbol val="none"/>
          </c:marker>
          <c:cat>
            <c:numRef>
              <c:f>'Sensitivity 2'!$AV$4:$AV$28</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2'!$BA$4:$BA$28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4-EFCE-467F-B333-9DC64886A0E5}"/>
            </c:ext>
          </c:extLst>
        </c:ser>
        <c:ser>
          <c:idx val="3"/>
          <c:order val="3"/>
          <c:tx>
            <c:strRef>
              <c:f>'Sensitivity 2'!$AZ$3</c:f>
              <c:strCache>
                <c:ptCount val="1"/>
                <c:pt idx="0">
                  <c:v>Exchange rate</c:v>
                </c:pt>
              </c:strCache>
            </c:strRef>
          </c:tx>
          <c:spPr>
            <a:ln w="28575" cap="rnd">
              <a:solidFill>
                <a:schemeClr val="accent4"/>
              </a:solidFill>
              <a:round/>
            </a:ln>
            <a:effectLst/>
          </c:spPr>
          <c:marker>
            <c:symbol val="none"/>
          </c:marker>
          <c:cat>
            <c:numRef>
              <c:f>'Sensitivity 2'!$AV$4:$AV$28</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2'!$AZ$4:$AZ$28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3-EFCE-467F-B333-9DC64886A0E5}"/>
            </c:ext>
          </c:extLst>
        </c:ser>
        <c:ser>
          <c:idx val="5"/>
          <c:order val="4"/>
          <c:tx>
            <c:strRef>
              <c:f>'Sensitivity 2'!$AY$3</c:f>
              <c:strCache>
                <c:ptCount val="1"/>
                <c:pt idx="0">
                  <c:v>Geological Risk</c:v>
                </c:pt>
              </c:strCache>
            </c:strRef>
          </c:tx>
          <c:spPr>
            <a:ln w="28575" cap="rnd">
              <a:solidFill>
                <a:schemeClr val="accent6"/>
              </a:solidFill>
              <a:round/>
            </a:ln>
            <a:effectLst/>
          </c:spPr>
          <c:marker>
            <c:symbol val="none"/>
          </c:marker>
          <c:val>
            <c:numRef>
              <c:f>'Sensitivity 2'!$AY$4:$AY$28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1-3F93-481F-ABFE-7DA98B000129}"/>
            </c:ext>
          </c:extLst>
        </c:ser>
        <c:ser>
          <c:idx val="2"/>
          <c:order val="5"/>
          <c:tx>
            <c:strRef>
              <c:f>'Sensitivity 2'!$AX$3</c:f>
              <c:strCache>
                <c:ptCount val="1"/>
                <c:pt idx="0">
                  <c:v>Land Cost</c:v>
                </c:pt>
              </c:strCache>
            </c:strRef>
          </c:tx>
          <c:spPr>
            <a:ln w="28575" cap="rnd">
              <a:solidFill>
                <a:schemeClr val="accent3"/>
              </a:solidFill>
              <a:round/>
            </a:ln>
            <a:effectLst/>
          </c:spPr>
          <c:marker>
            <c:symbol val="none"/>
          </c:marker>
          <c:val>
            <c:numRef>
              <c:f>'Sensitivity 2'!$AX$4:$AX$28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0-3F93-481F-ABFE-7DA98B000129}"/>
            </c:ext>
          </c:extLst>
        </c:ser>
        <c:ser>
          <c:idx val="0"/>
          <c:order val="6"/>
          <c:tx>
            <c:strRef>
              <c:f>'Sensitivity 2'!$AW$3</c:f>
              <c:strCache>
                <c:ptCount val="1"/>
                <c:pt idx="0">
                  <c:v>Baseline</c:v>
                </c:pt>
              </c:strCache>
            </c:strRef>
          </c:tx>
          <c:spPr>
            <a:ln w="28575" cap="rnd">
              <a:solidFill>
                <a:schemeClr val="accent1"/>
              </a:solidFill>
              <a:round/>
            </a:ln>
            <a:effectLst/>
          </c:spPr>
          <c:marker>
            <c:symbol val="none"/>
          </c:marker>
          <c:cat>
            <c:numRef>
              <c:f>'Sensitivity 2'!$AV$4:$AV$28</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2'!$AW$4:$AW$28</c:f>
              <c:numCache>
                <c:formatCode>#,##0,;\(#,##0,\);\-\-</c:formatCode>
                <c:ptCount val="25"/>
                <c:pt idx="0">
                  <c:v>-1875000</c:v>
                </c:pt>
                <c:pt idx="1">
                  <c:v>-2659024.9999999995</c:v>
                </c:pt>
                <c:pt idx="2">
                  <c:v>-4856893.3124999991</c:v>
                </c:pt>
                <c:pt idx="3">
                  <c:v>-7178176.2961349972</c:v>
                </c:pt>
                <c:pt idx="4">
                  <c:v>-7945036.9760139091</c:v>
                </c:pt>
                <c:pt idx="5">
                  <c:v>-2476378.2078251997</c:v>
                </c:pt>
                <c:pt idx="6">
                  <c:v>-2399703.8266784917</c:v>
                </c:pt>
                <c:pt idx="7">
                  <c:v>-2323256.9254791681</c:v>
                </c:pt>
                <c:pt idx="8">
                  <c:v>-2247040.9164264407</c:v>
                </c:pt>
                <c:pt idx="9">
                  <c:v>-2171059.2629025076</c:v>
                </c:pt>
                <c:pt idx="10">
                  <c:v>-2095315.4802403012</c:v>
                </c:pt>
                <c:pt idx="11">
                  <c:v>-2019813.1365027474</c:v>
                </c:pt>
                <c:pt idx="12">
                  <c:v>-1944555.8532737158</c:v>
                </c:pt>
                <c:pt idx="13">
                  <c:v>-2472334.3721905053</c:v>
                </c:pt>
                <c:pt idx="14">
                  <c:v>-4733723.9939728081</c:v>
                </c:pt>
                <c:pt idx="15">
                  <c:v>-1720291.4022341846</c:v>
                </c:pt>
                <c:pt idx="16">
                  <c:v>-1646051.6756494672</c:v>
                </c:pt>
                <c:pt idx="17">
                  <c:v>-1572075.9488305645</c:v>
                </c:pt>
                <c:pt idx="18">
                  <c:v>-1498368.1817739638</c:v>
                </c:pt>
                <c:pt idx="19">
                  <c:v>-1424932.3938761</c:v>
                </c:pt>
                <c:pt idx="20">
                  <c:v>-1351772.6648243535</c:v>
                </c:pt>
                <c:pt idx="21">
                  <c:v>-1278893.1355014166</c:v>
                </c:pt>
                <c:pt idx="22">
                  <c:v>-1206298.0089032212</c:v>
                </c:pt>
                <c:pt idx="23">
                  <c:v>-1133991.5510706385</c:v>
                </c:pt>
                <c:pt idx="24">
                  <c:v>-1061978.041062779</c:v>
                </c:pt>
              </c:numCache>
            </c:numRef>
          </c:val>
          <c:smooth val="0"/>
          <c:extLst>
            <c:ext xmlns:c16="http://schemas.microsoft.com/office/drawing/2014/chart" uri="{C3380CC4-5D6E-409C-BE32-E72D297353CC}">
              <c16:uniqueId val="{00000000-EFCE-467F-B333-9DC64886A0E5}"/>
            </c:ext>
          </c:extLst>
        </c:ser>
        <c:dLbls>
          <c:showLegendKey val="0"/>
          <c:showVal val="0"/>
          <c:showCatName val="0"/>
          <c:showSerName val="0"/>
          <c:showPercent val="0"/>
          <c:showBubbleSize val="0"/>
        </c:dLbls>
        <c:smooth val="0"/>
        <c:axId val="1096787536"/>
        <c:axId val="1293136816"/>
      </c:lineChart>
      <c:catAx>
        <c:axId val="1096787536"/>
        <c:scaling>
          <c:orientation val="minMax"/>
        </c:scaling>
        <c:delete val="0"/>
        <c:axPos val="b"/>
        <c:numFmt formatCode="&quot;Y&quot;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293136816"/>
        <c:crosses val="autoZero"/>
        <c:auto val="1"/>
        <c:lblAlgn val="ctr"/>
        <c:lblOffset val="100"/>
        <c:noMultiLvlLbl val="0"/>
      </c:catAx>
      <c:valAx>
        <c:axId val="1293136816"/>
        <c:scaling>
          <c:orientation val="minMax"/>
        </c:scaling>
        <c:delete val="0"/>
        <c:axPos val="l"/>
        <c:majorGridlines>
          <c:spPr>
            <a:ln w="9525" cap="flat" cmpd="sng" algn="ctr">
              <a:solidFill>
                <a:schemeClr val="tx1">
                  <a:lumMod val="15000"/>
                  <a:lumOff val="85000"/>
                </a:schemeClr>
              </a:solidFill>
              <a:prstDash val="sysDot"/>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096787536"/>
        <c:crosses val="autoZero"/>
        <c:crossBetween val="between"/>
      </c:valAx>
      <c:spPr>
        <a:noFill/>
        <a:ln>
          <a:noFill/>
        </a:ln>
        <a:effectLst/>
      </c:spPr>
    </c:plotArea>
    <c:legend>
      <c:legendPos val="r"/>
      <c:layout>
        <c:manualLayout>
          <c:xMode val="edge"/>
          <c:yMode val="edge"/>
          <c:x val="0.66719191429061198"/>
          <c:y val="0.43432687443266194"/>
          <c:w val="0.29284764735763974"/>
          <c:h val="0.47008872562205123"/>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ova" panose="020B05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r>
              <a:rPr lang="en-US">
                <a:solidFill>
                  <a:schemeClr val="accent1"/>
                </a:solidFill>
                <a:latin typeface="Arial Black" panose="020B0A04020102020204" pitchFamily="34" charset="0"/>
              </a:rPr>
              <a:t>Gross Capital Formation</a:t>
            </a:r>
          </a:p>
        </c:rich>
      </c:tx>
      <c:layout>
        <c:manualLayout>
          <c:xMode val="edge"/>
          <c:yMode val="edge"/>
          <c:x val="0.17959650876973712"/>
          <c:y val="4.1666652996504919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endParaRPr lang="en-US"/>
        </a:p>
      </c:txPr>
    </c:title>
    <c:autoTitleDeleted val="0"/>
    <c:plotArea>
      <c:layout>
        <c:manualLayout>
          <c:layoutTarget val="inner"/>
          <c:xMode val="edge"/>
          <c:yMode val="edge"/>
          <c:x val="0.16503298254834889"/>
          <c:y val="8.2244940455137361E-2"/>
          <c:w val="0.79885593560877677"/>
          <c:h val="0.81362762987959825"/>
        </c:manualLayout>
      </c:layout>
      <c:lineChart>
        <c:grouping val="standard"/>
        <c:varyColors val="0"/>
        <c:ser>
          <c:idx val="6"/>
          <c:order val="0"/>
          <c:tx>
            <c:strRef>
              <c:f>'Sensitivity 2'!$BC$33</c:f>
              <c:strCache>
                <c:ptCount val="1"/>
                <c:pt idx="0">
                  <c:v>Combined</c:v>
                </c:pt>
              </c:strCache>
            </c:strRef>
          </c:tx>
          <c:spPr>
            <a:ln w="28575" cap="rnd">
              <a:solidFill>
                <a:schemeClr val="accent1">
                  <a:lumMod val="60000"/>
                </a:schemeClr>
              </a:solidFill>
              <a:round/>
            </a:ln>
            <a:effectLst/>
          </c:spPr>
          <c:marker>
            <c:symbol val="none"/>
          </c:marker>
          <c:val>
            <c:numRef>
              <c:f>'Sensitivity 2'!$BC$34:$BC$38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2-82E2-48C2-8CBD-01D343AC6828}"/>
            </c:ext>
          </c:extLst>
        </c:ser>
        <c:ser>
          <c:idx val="1"/>
          <c:order val="1"/>
          <c:tx>
            <c:strRef>
              <c:f>'Sensitivity 2'!$BB$33</c:f>
              <c:strCache>
                <c:ptCount val="1"/>
                <c:pt idx="0">
                  <c:v>Subsidy Policy</c:v>
                </c:pt>
              </c:strCache>
            </c:strRef>
          </c:tx>
          <c:spPr>
            <a:ln w="28575" cap="rnd">
              <a:solidFill>
                <a:schemeClr val="accent2"/>
              </a:solidFill>
              <a:round/>
            </a:ln>
            <a:effectLst/>
          </c:spPr>
          <c:marker>
            <c:symbol val="none"/>
          </c:marker>
          <c:cat>
            <c:numRef>
              <c:f>'Sensitivity 2'!$AV$34:$AV$38</c:f>
              <c:numCache>
                <c:formatCode>"Y"0</c:formatCode>
                <c:ptCount val="5"/>
                <c:pt idx="0">
                  <c:v>0</c:v>
                </c:pt>
                <c:pt idx="1">
                  <c:v>1</c:v>
                </c:pt>
                <c:pt idx="2">
                  <c:v>2</c:v>
                </c:pt>
                <c:pt idx="3">
                  <c:v>3</c:v>
                </c:pt>
                <c:pt idx="4">
                  <c:v>4</c:v>
                </c:pt>
              </c:numCache>
            </c:numRef>
          </c:cat>
          <c:val>
            <c:numRef>
              <c:f>'Sensitivity 2'!$BB$34:$BB$38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1-57B4-4C3F-807B-E5FE3CFA9A0C}"/>
            </c:ext>
          </c:extLst>
        </c:ser>
        <c:ser>
          <c:idx val="4"/>
          <c:order val="2"/>
          <c:tx>
            <c:strRef>
              <c:f>'Sensitivity 2'!$BA$33</c:f>
              <c:strCache>
                <c:ptCount val="1"/>
                <c:pt idx="0">
                  <c:v>Price Risk</c:v>
                </c:pt>
              </c:strCache>
            </c:strRef>
          </c:tx>
          <c:spPr>
            <a:ln w="28575" cap="rnd">
              <a:solidFill>
                <a:schemeClr val="accent5"/>
              </a:solidFill>
              <a:round/>
            </a:ln>
            <a:effectLst/>
          </c:spPr>
          <c:marker>
            <c:symbol val="none"/>
          </c:marker>
          <c:cat>
            <c:numRef>
              <c:f>'Sensitivity 2'!$AV$34:$AV$38</c:f>
              <c:numCache>
                <c:formatCode>"Y"0</c:formatCode>
                <c:ptCount val="5"/>
                <c:pt idx="0">
                  <c:v>0</c:v>
                </c:pt>
                <c:pt idx="1">
                  <c:v>1</c:v>
                </c:pt>
                <c:pt idx="2">
                  <c:v>2</c:v>
                </c:pt>
                <c:pt idx="3">
                  <c:v>3</c:v>
                </c:pt>
                <c:pt idx="4">
                  <c:v>4</c:v>
                </c:pt>
              </c:numCache>
            </c:numRef>
          </c:cat>
          <c:val>
            <c:numRef>
              <c:f>'Sensitivity 2'!$BA$34:$BA$38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3-57B4-4C3F-807B-E5FE3CFA9A0C}"/>
            </c:ext>
          </c:extLst>
        </c:ser>
        <c:ser>
          <c:idx val="3"/>
          <c:order val="3"/>
          <c:tx>
            <c:strRef>
              <c:f>'Sensitivity 2'!$AZ$33</c:f>
              <c:strCache>
                <c:ptCount val="1"/>
                <c:pt idx="0">
                  <c:v>Exchange rate</c:v>
                </c:pt>
              </c:strCache>
            </c:strRef>
          </c:tx>
          <c:spPr>
            <a:ln w="28575" cap="rnd">
              <a:solidFill>
                <a:schemeClr val="accent4"/>
              </a:solidFill>
              <a:round/>
            </a:ln>
            <a:effectLst/>
          </c:spPr>
          <c:marker>
            <c:symbol val="none"/>
          </c:marker>
          <c:cat>
            <c:numRef>
              <c:f>'Sensitivity 2'!$AV$34:$AV$38</c:f>
              <c:numCache>
                <c:formatCode>"Y"0</c:formatCode>
                <c:ptCount val="5"/>
                <c:pt idx="0">
                  <c:v>0</c:v>
                </c:pt>
                <c:pt idx="1">
                  <c:v>1</c:v>
                </c:pt>
                <c:pt idx="2">
                  <c:v>2</c:v>
                </c:pt>
                <c:pt idx="3">
                  <c:v>3</c:v>
                </c:pt>
                <c:pt idx="4">
                  <c:v>4</c:v>
                </c:pt>
              </c:numCache>
            </c:numRef>
          </c:cat>
          <c:val>
            <c:numRef>
              <c:f>'Sensitivity 2'!$AZ$34:$AZ$38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2-57B4-4C3F-807B-E5FE3CFA9A0C}"/>
            </c:ext>
          </c:extLst>
        </c:ser>
        <c:ser>
          <c:idx val="5"/>
          <c:order val="4"/>
          <c:tx>
            <c:strRef>
              <c:f>'Sensitivity 2'!$AY$33</c:f>
              <c:strCache>
                <c:ptCount val="1"/>
                <c:pt idx="0">
                  <c:v>Geological Risk</c:v>
                </c:pt>
              </c:strCache>
            </c:strRef>
          </c:tx>
          <c:spPr>
            <a:ln w="28575" cap="rnd">
              <a:solidFill>
                <a:schemeClr val="accent6"/>
              </a:solidFill>
              <a:round/>
            </a:ln>
            <a:effectLst/>
          </c:spPr>
          <c:marker>
            <c:symbol val="none"/>
          </c:marker>
          <c:val>
            <c:numRef>
              <c:f>'Sensitivity 2'!$AY$34:$AY$38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1-82E2-48C2-8CBD-01D343AC6828}"/>
            </c:ext>
          </c:extLst>
        </c:ser>
        <c:ser>
          <c:idx val="2"/>
          <c:order val="5"/>
          <c:tx>
            <c:strRef>
              <c:f>'Sensitivity 2'!$AX$33</c:f>
              <c:strCache>
                <c:ptCount val="1"/>
                <c:pt idx="0">
                  <c:v>Land Cost</c:v>
                </c:pt>
              </c:strCache>
            </c:strRef>
          </c:tx>
          <c:spPr>
            <a:ln w="28575" cap="rnd">
              <a:solidFill>
                <a:schemeClr val="accent3"/>
              </a:solidFill>
              <a:round/>
            </a:ln>
            <a:effectLst/>
          </c:spPr>
          <c:marker>
            <c:symbol val="none"/>
          </c:marker>
          <c:val>
            <c:numRef>
              <c:f>'Sensitivity 2'!$AX$34:$AX$38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0-82E2-48C2-8CBD-01D343AC6828}"/>
            </c:ext>
          </c:extLst>
        </c:ser>
        <c:ser>
          <c:idx val="0"/>
          <c:order val="6"/>
          <c:tx>
            <c:strRef>
              <c:f>'Sensitivity 2'!$AW$33</c:f>
              <c:strCache>
                <c:ptCount val="1"/>
                <c:pt idx="0">
                  <c:v>Baseline</c:v>
                </c:pt>
              </c:strCache>
            </c:strRef>
          </c:tx>
          <c:spPr>
            <a:ln w="28575" cap="rnd">
              <a:solidFill>
                <a:schemeClr val="accent1"/>
              </a:solidFill>
              <a:round/>
            </a:ln>
            <a:effectLst/>
          </c:spPr>
          <c:marker>
            <c:symbol val="none"/>
          </c:marker>
          <c:cat>
            <c:numRef>
              <c:f>'Sensitivity 2'!$AV$34:$AV$38</c:f>
              <c:numCache>
                <c:formatCode>"Y"0</c:formatCode>
                <c:ptCount val="5"/>
                <c:pt idx="0">
                  <c:v>0</c:v>
                </c:pt>
                <c:pt idx="1">
                  <c:v>1</c:v>
                </c:pt>
                <c:pt idx="2">
                  <c:v>2</c:v>
                </c:pt>
                <c:pt idx="3">
                  <c:v>3</c:v>
                </c:pt>
                <c:pt idx="4">
                  <c:v>4</c:v>
                </c:pt>
              </c:numCache>
            </c:numRef>
          </c:cat>
          <c:val>
            <c:numRef>
              <c:f>'Sensitivity 2'!$AW$34:$AW$38</c:f>
              <c:numCache>
                <c:formatCode>#,##0,;\(#,##0,\);\-\-</c:formatCode>
                <c:ptCount val="5"/>
                <c:pt idx="0">
                  <c:v>1875000</c:v>
                </c:pt>
                <c:pt idx="1">
                  <c:v>2471524.9999999995</c:v>
                </c:pt>
                <c:pt idx="2">
                  <c:v>4422240.8124999991</c:v>
                </c:pt>
                <c:pt idx="3">
                  <c:v>5668204.1995249977</c:v>
                </c:pt>
                <c:pt idx="4">
                  <c:v>3930972.1824498107</c:v>
                </c:pt>
              </c:numCache>
            </c:numRef>
          </c:val>
          <c:smooth val="0"/>
          <c:extLst>
            <c:ext xmlns:c16="http://schemas.microsoft.com/office/drawing/2014/chart" uri="{C3380CC4-5D6E-409C-BE32-E72D297353CC}">
              <c16:uniqueId val="{00000000-57B4-4C3F-807B-E5FE3CFA9A0C}"/>
            </c:ext>
          </c:extLst>
        </c:ser>
        <c:dLbls>
          <c:showLegendKey val="0"/>
          <c:showVal val="0"/>
          <c:showCatName val="0"/>
          <c:showSerName val="0"/>
          <c:showPercent val="0"/>
          <c:showBubbleSize val="0"/>
        </c:dLbls>
        <c:smooth val="0"/>
        <c:axId val="1096787536"/>
        <c:axId val="1293136816"/>
      </c:lineChart>
      <c:catAx>
        <c:axId val="1096787536"/>
        <c:scaling>
          <c:orientation val="minMax"/>
        </c:scaling>
        <c:delete val="0"/>
        <c:axPos val="b"/>
        <c:numFmt formatCode="&quot;Y&quot;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293136816"/>
        <c:crosses val="autoZero"/>
        <c:auto val="1"/>
        <c:lblAlgn val="ctr"/>
        <c:lblOffset val="100"/>
        <c:noMultiLvlLbl val="0"/>
      </c:catAx>
      <c:valAx>
        <c:axId val="1293136816"/>
        <c:scaling>
          <c:orientation val="minMax"/>
        </c:scaling>
        <c:delete val="0"/>
        <c:axPos val="l"/>
        <c:majorGridlines>
          <c:spPr>
            <a:ln w="9525" cap="flat" cmpd="sng" algn="ctr">
              <a:solidFill>
                <a:schemeClr val="tx1">
                  <a:lumMod val="15000"/>
                  <a:lumOff val="85000"/>
                </a:schemeClr>
              </a:solidFill>
              <a:prstDash val="sysDot"/>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096787536"/>
        <c:crosses val="autoZero"/>
        <c:crossBetween val="between"/>
      </c:valAx>
      <c:spPr>
        <a:noFill/>
        <a:ln>
          <a:noFill/>
        </a:ln>
        <a:effectLst/>
      </c:spPr>
    </c:plotArea>
    <c:legend>
      <c:legendPos val="r"/>
      <c:layout>
        <c:manualLayout>
          <c:xMode val="edge"/>
          <c:yMode val="edge"/>
          <c:x val="0.59505811773528317"/>
          <c:y val="0.4146191695984176"/>
          <c:w val="0.35155563887847346"/>
          <c:h val="0.45373913090470863"/>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ova" panose="020B05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r>
              <a:rPr lang="en-US">
                <a:solidFill>
                  <a:schemeClr val="accent1"/>
                </a:solidFill>
                <a:latin typeface="Arial Black" panose="020B0A04020102020204" pitchFamily="34" charset="0"/>
              </a:rPr>
              <a:t>Debt Stock</a:t>
            </a:r>
          </a:p>
        </c:rich>
      </c:tx>
      <c:layout>
        <c:manualLayout>
          <c:xMode val="edge"/>
          <c:yMode val="edge"/>
          <c:x val="0.11507607688797961"/>
          <c:y val="2.205070899106373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endParaRPr lang="en-US"/>
        </a:p>
      </c:txPr>
    </c:title>
    <c:autoTitleDeleted val="0"/>
    <c:plotArea>
      <c:layout>
        <c:manualLayout>
          <c:layoutTarget val="inner"/>
          <c:xMode val="edge"/>
          <c:yMode val="edge"/>
          <c:x val="0.12042825896762901"/>
          <c:y val="9.1734856236493689E-2"/>
          <c:w val="0.84346062992125981"/>
          <c:h val="0.78454616862854332"/>
        </c:manualLayout>
      </c:layout>
      <c:lineChart>
        <c:grouping val="standard"/>
        <c:varyColors val="0"/>
        <c:ser>
          <c:idx val="6"/>
          <c:order val="0"/>
          <c:tx>
            <c:strRef>
              <c:f>'Sensitivity 2'!$BC$42</c:f>
              <c:strCache>
                <c:ptCount val="1"/>
                <c:pt idx="0">
                  <c:v>Combined</c:v>
                </c:pt>
              </c:strCache>
            </c:strRef>
          </c:tx>
          <c:spPr>
            <a:ln w="28575" cap="rnd">
              <a:solidFill>
                <a:schemeClr val="accent1">
                  <a:lumMod val="60000"/>
                </a:schemeClr>
              </a:solidFill>
              <a:round/>
            </a:ln>
            <a:effectLst/>
          </c:spPr>
          <c:marker>
            <c:symbol val="none"/>
          </c:marker>
          <c:val>
            <c:numRef>
              <c:f>'Sensitivity 2'!$BC$43:$BC$67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2-1DE8-4689-9601-0B2D5EF35B8C}"/>
            </c:ext>
          </c:extLst>
        </c:ser>
        <c:ser>
          <c:idx val="1"/>
          <c:order val="1"/>
          <c:tx>
            <c:strRef>
              <c:f>'Sensitivity 2'!$BB$42</c:f>
              <c:strCache>
                <c:ptCount val="1"/>
                <c:pt idx="0">
                  <c:v>Subsidy Policy</c:v>
                </c:pt>
              </c:strCache>
            </c:strRef>
          </c:tx>
          <c:spPr>
            <a:ln w="28575" cap="rnd">
              <a:solidFill>
                <a:schemeClr val="accent2"/>
              </a:solidFill>
              <a:round/>
            </a:ln>
            <a:effectLst/>
          </c:spPr>
          <c:marker>
            <c:symbol val="none"/>
          </c:marker>
          <c:cat>
            <c:numRef>
              <c:f>'Sensitivity 2'!$AV$43:$AV$67</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2'!$BB$43:$BB$67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1-C248-463F-BBA1-0025277F6615}"/>
            </c:ext>
          </c:extLst>
        </c:ser>
        <c:ser>
          <c:idx val="4"/>
          <c:order val="2"/>
          <c:tx>
            <c:strRef>
              <c:f>'Sensitivity 2'!$BA$42</c:f>
              <c:strCache>
                <c:ptCount val="1"/>
                <c:pt idx="0">
                  <c:v>Price Risk</c:v>
                </c:pt>
              </c:strCache>
            </c:strRef>
          </c:tx>
          <c:spPr>
            <a:ln w="28575" cap="rnd">
              <a:solidFill>
                <a:schemeClr val="accent5"/>
              </a:solidFill>
              <a:round/>
            </a:ln>
            <a:effectLst/>
          </c:spPr>
          <c:marker>
            <c:symbol val="none"/>
          </c:marker>
          <c:cat>
            <c:numRef>
              <c:f>'Sensitivity 2'!$AV$43:$AV$67</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2'!$BA$43:$BA$67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3-C248-463F-BBA1-0025277F6615}"/>
            </c:ext>
          </c:extLst>
        </c:ser>
        <c:ser>
          <c:idx val="3"/>
          <c:order val="3"/>
          <c:tx>
            <c:strRef>
              <c:f>'Sensitivity 2'!$AZ$42</c:f>
              <c:strCache>
                <c:ptCount val="1"/>
                <c:pt idx="0">
                  <c:v>Exchange rate</c:v>
                </c:pt>
              </c:strCache>
            </c:strRef>
          </c:tx>
          <c:spPr>
            <a:ln w="28575" cap="rnd">
              <a:solidFill>
                <a:schemeClr val="accent4"/>
              </a:solidFill>
              <a:round/>
            </a:ln>
            <a:effectLst/>
          </c:spPr>
          <c:marker>
            <c:symbol val="none"/>
          </c:marker>
          <c:cat>
            <c:numRef>
              <c:f>'Sensitivity 2'!$AV$43:$AV$67</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2'!$AZ$43:$AZ$67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2-C248-463F-BBA1-0025277F6615}"/>
            </c:ext>
          </c:extLst>
        </c:ser>
        <c:ser>
          <c:idx val="5"/>
          <c:order val="4"/>
          <c:tx>
            <c:strRef>
              <c:f>'Sensitivity 2'!$AY$42</c:f>
              <c:strCache>
                <c:ptCount val="1"/>
                <c:pt idx="0">
                  <c:v>Geological Risk</c:v>
                </c:pt>
              </c:strCache>
            </c:strRef>
          </c:tx>
          <c:spPr>
            <a:ln w="28575" cap="rnd">
              <a:solidFill>
                <a:schemeClr val="accent6"/>
              </a:solidFill>
              <a:round/>
            </a:ln>
            <a:effectLst/>
          </c:spPr>
          <c:marker>
            <c:symbol val="none"/>
          </c:marker>
          <c:val>
            <c:numRef>
              <c:f>'Sensitivity 2'!$AY$43:$AY$67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1-1DE8-4689-9601-0B2D5EF35B8C}"/>
            </c:ext>
          </c:extLst>
        </c:ser>
        <c:ser>
          <c:idx val="2"/>
          <c:order val="5"/>
          <c:tx>
            <c:strRef>
              <c:f>'Sensitivity 2'!$AX$42</c:f>
              <c:strCache>
                <c:ptCount val="1"/>
                <c:pt idx="0">
                  <c:v>Land Cost</c:v>
                </c:pt>
              </c:strCache>
            </c:strRef>
          </c:tx>
          <c:spPr>
            <a:ln w="28575" cap="rnd">
              <a:solidFill>
                <a:schemeClr val="accent3"/>
              </a:solidFill>
              <a:round/>
            </a:ln>
            <a:effectLst/>
          </c:spPr>
          <c:marker>
            <c:symbol val="none"/>
          </c:marker>
          <c:val>
            <c:numRef>
              <c:f>'Sensitivity 2'!$AX$43:$AX$67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0-1DE8-4689-9601-0B2D5EF35B8C}"/>
            </c:ext>
          </c:extLst>
        </c:ser>
        <c:ser>
          <c:idx val="0"/>
          <c:order val="6"/>
          <c:tx>
            <c:strRef>
              <c:f>'Sensitivity 2'!$AW$42</c:f>
              <c:strCache>
                <c:ptCount val="1"/>
                <c:pt idx="0">
                  <c:v>Baseline</c:v>
                </c:pt>
              </c:strCache>
            </c:strRef>
          </c:tx>
          <c:spPr>
            <a:ln w="28575" cap="rnd">
              <a:solidFill>
                <a:schemeClr val="accent1"/>
              </a:solidFill>
              <a:round/>
            </a:ln>
            <a:effectLst/>
          </c:spPr>
          <c:marker>
            <c:symbol val="none"/>
          </c:marker>
          <c:cat>
            <c:numRef>
              <c:f>'Sensitivity 2'!$AV$43:$AV$67</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2'!$AW$43:$AW$67</c:f>
              <c:numCache>
                <c:formatCode>#,##0,;\(#,##0,\);\-\-</c:formatCode>
                <c:ptCount val="25"/>
                <c:pt idx="0">
                  <c:v>1875000</c:v>
                </c:pt>
                <c:pt idx="1">
                  <c:v>4346525</c:v>
                </c:pt>
                <c:pt idx="2">
                  <c:v>8768765.8125</c:v>
                </c:pt>
                <c:pt idx="3">
                  <c:v>14436970.012024999</c:v>
                </c:pt>
                <c:pt idx="4">
                  <c:v>18367942.194474809</c:v>
                </c:pt>
                <c:pt idx="5">
                  <c:v>17449545.08475107</c:v>
                </c:pt>
                <c:pt idx="6">
                  <c:v>16531147.975027328</c:v>
                </c:pt>
                <c:pt idx="7">
                  <c:v>15612750.865303587</c:v>
                </c:pt>
                <c:pt idx="8">
                  <c:v>14694353.755579846</c:v>
                </c:pt>
                <c:pt idx="9">
                  <c:v>13775956.645856105</c:v>
                </c:pt>
                <c:pt idx="10">
                  <c:v>12857559.536132364</c:v>
                </c:pt>
                <c:pt idx="11">
                  <c:v>11939162.426408622</c:v>
                </c:pt>
                <c:pt idx="12">
                  <c:v>11020765.316684881</c:v>
                </c:pt>
                <c:pt idx="13">
                  <c:v>10102368.20696114</c:v>
                </c:pt>
                <c:pt idx="14">
                  <c:v>9183971.0972373988</c:v>
                </c:pt>
                <c:pt idx="15">
                  <c:v>8265573.9875136586</c:v>
                </c:pt>
                <c:pt idx="16">
                  <c:v>7347176.8777899183</c:v>
                </c:pt>
                <c:pt idx="17">
                  <c:v>6428779.7680661781</c:v>
                </c:pt>
                <c:pt idx="18">
                  <c:v>5510382.6583424378</c:v>
                </c:pt>
                <c:pt idx="19">
                  <c:v>4591985.5486186976</c:v>
                </c:pt>
                <c:pt idx="20">
                  <c:v>3673588.4388949573</c:v>
                </c:pt>
                <c:pt idx="21">
                  <c:v>2755191.329171217</c:v>
                </c:pt>
                <c:pt idx="22">
                  <c:v>1836794.2194474766</c:v>
                </c:pt>
                <c:pt idx="23">
                  <c:v>918397.1</c:v>
                </c:pt>
                <c:pt idx="24">
                  <c:v>0</c:v>
                </c:pt>
              </c:numCache>
            </c:numRef>
          </c:val>
          <c:smooth val="0"/>
          <c:extLst>
            <c:ext xmlns:c16="http://schemas.microsoft.com/office/drawing/2014/chart" uri="{C3380CC4-5D6E-409C-BE32-E72D297353CC}">
              <c16:uniqueId val="{00000000-C248-463F-BBA1-0025277F6615}"/>
            </c:ext>
          </c:extLst>
        </c:ser>
        <c:dLbls>
          <c:showLegendKey val="0"/>
          <c:showVal val="0"/>
          <c:showCatName val="0"/>
          <c:showSerName val="0"/>
          <c:showPercent val="0"/>
          <c:showBubbleSize val="0"/>
        </c:dLbls>
        <c:smooth val="0"/>
        <c:axId val="1096787536"/>
        <c:axId val="1293136816"/>
      </c:lineChart>
      <c:catAx>
        <c:axId val="1096787536"/>
        <c:scaling>
          <c:orientation val="minMax"/>
        </c:scaling>
        <c:delete val="0"/>
        <c:axPos val="b"/>
        <c:numFmt formatCode="&quot;Y&quot;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293136816"/>
        <c:crosses val="autoZero"/>
        <c:auto val="1"/>
        <c:lblAlgn val="ctr"/>
        <c:lblOffset val="100"/>
        <c:noMultiLvlLbl val="0"/>
      </c:catAx>
      <c:valAx>
        <c:axId val="1293136816"/>
        <c:scaling>
          <c:orientation val="minMax"/>
        </c:scaling>
        <c:delete val="0"/>
        <c:axPos val="l"/>
        <c:majorGridlines>
          <c:spPr>
            <a:ln w="9525" cap="flat" cmpd="sng" algn="ctr">
              <a:solidFill>
                <a:schemeClr val="tx1">
                  <a:lumMod val="15000"/>
                  <a:lumOff val="85000"/>
                </a:schemeClr>
              </a:solidFill>
              <a:prstDash val="sysDot"/>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096787536"/>
        <c:crosses val="autoZero"/>
        <c:crossBetween val="between"/>
      </c:valAx>
      <c:spPr>
        <a:noFill/>
        <a:ln>
          <a:noFill/>
        </a:ln>
        <a:effectLst/>
      </c:spPr>
    </c:plotArea>
    <c:legend>
      <c:legendPos val="r"/>
      <c:layout>
        <c:manualLayout>
          <c:xMode val="edge"/>
          <c:yMode val="edge"/>
          <c:x val="0.61564609521789893"/>
          <c:y val="2.2556312649189537E-2"/>
          <c:w val="0.3730773100144143"/>
          <c:h val="0.50018369803238227"/>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ova" panose="020B05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r>
              <a:rPr lang="en-US">
                <a:solidFill>
                  <a:schemeClr val="accent1"/>
                </a:solidFill>
                <a:latin typeface="Arial Black" panose="020B0A04020102020204" pitchFamily="34" charset="0"/>
              </a:rPr>
              <a:t>Operating Expenses</a:t>
            </a:r>
          </a:p>
        </c:rich>
      </c:tx>
      <c:layout>
        <c:manualLayout>
          <c:xMode val="edge"/>
          <c:yMode val="edge"/>
          <c:x val="0.12792868259378859"/>
          <c:y val="2.521008403361344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accent1"/>
              </a:solidFill>
              <a:latin typeface="Arial Black" panose="020B0A04020102020204" pitchFamily="34" charset="0"/>
              <a:ea typeface="+mn-ea"/>
              <a:cs typeface="+mn-cs"/>
            </a:defRPr>
          </a:pPr>
          <a:endParaRPr lang="en-US"/>
        </a:p>
      </c:txPr>
    </c:title>
    <c:autoTitleDeleted val="0"/>
    <c:plotArea>
      <c:layout>
        <c:manualLayout>
          <c:layoutTarget val="inner"/>
          <c:xMode val="edge"/>
          <c:yMode val="edge"/>
          <c:x val="0.12042825896762901"/>
          <c:y val="8.540824571558947E-2"/>
          <c:w val="0.84346062992125981"/>
          <c:h val="0.7771931449745253"/>
        </c:manualLayout>
      </c:layout>
      <c:lineChart>
        <c:grouping val="standard"/>
        <c:varyColors val="0"/>
        <c:ser>
          <c:idx val="6"/>
          <c:order val="0"/>
          <c:tx>
            <c:strRef>
              <c:f>'Sensitivity 2'!$BC$71</c:f>
              <c:strCache>
                <c:ptCount val="1"/>
                <c:pt idx="0">
                  <c:v>Combined</c:v>
                </c:pt>
              </c:strCache>
            </c:strRef>
          </c:tx>
          <c:spPr>
            <a:ln w="28575" cap="rnd">
              <a:solidFill>
                <a:schemeClr val="accent1">
                  <a:lumMod val="60000"/>
                </a:schemeClr>
              </a:solidFill>
              <a:round/>
            </a:ln>
            <a:effectLst/>
          </c:spPr>
          <c:marker>
            <c:symbol val="none"/>
          </c:marker>
          <c:val>
            <c:numRef>
              <c:f>'Sensitivity 2'!$BC$72:$BC$96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2-6AC1-4929-B684-95206A7FA510}"/>
            </c:ext>
          </c:extLst>
        </c:ser>
        <c:ser>
          <c:idx val="1"/>
          <c:order val="1"/>
          <c:tx>
            <c:strRef>
              <c:f>'Sensitivity 2'!$BB$71</c:f>
              <c:strCache>
                <c:ptCount val="1"/>
                <c:pt idx="0">
                  <c:v>Subsidy Policy</c:v>
                </c:pt>
              </c:strCache>
            </c:strRef>
          </c:tx>
          <c:spPr>
            <a:ln w="28575" cap="rnd">
              <a:solidFill>
                <a:schemeClr val="accent2"/>
              </a:solidFill>
              <a:round/>
            </a:ln>
            <a:effectLst/>
          </c:spPr>
          <c:marker>
            <c:symbol val="none"/>
          </c:marker>
          <c:cat>
            <c:numRef>
              <c:f>'Sensitivity 2'!$AV$72:$AV$96</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2'!$BB$72:$BB$96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1-DF29-47F8-BBA6-A8D67ABD2894}"/>
            </c:ext>
          </c:extLst>
        </c:ser>
        <c:ser>
          <c:idx val="4"/>
          <c:order val="2"/>
          <c:tx>
            <c:strRef>
              <c:f>'Sensitivity 2'!$BA$71</c:f>
              <c:strCache>
                <c:ptCount val="1"/>
                <c:pt idx="0">
                  <c:v>Price Risk</c:v>
                </c:pt>
              </c:strCache>
            </c:strRef>
          </c:tx>
          <c:spPr>
            <a:ln w="28575" cap="rnd">
              <a:solidFill>
                <a:schemeClr val="accent5"/>
              </a:solidFill>
              <a:round/>
            </a:ln>
            <a:effectLst/>
          </c:spPr>
          <c:marker>
            <c:symbol val="none"/>
          </c:marker>
          <c:cat>
            <c:numRef>
              <c:f>'Sensitivity 2'!$AV$72:$AV$96</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2'!$BA$72:$BA$96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3-DF29-47F8-BBA6-A8D67ABD2894}"/>
            </c:ext>
          </c:extLst>
        </c:ser>
        <c:ser>
          <c:idx val="3"/>
          <c:order val="3"/>
          <c:tx>
            <c:strRef>
              <c:f>'Sensitivity 2'!$AZ$71</c:f>
              <c:strCache>
                <c:ptCount val="1"/>
                <c:pt idx="0">
                  <c:v>Exchange rate</c:v>
                </c:pt>
              </c:strCache>
            </c:strRef>
          </c:tx>
          <c:spPr>
            <a:ln w="28575" cap="rnd">
              <a:solidFill>
                <a:schemeClr val="accent4"/>
              </a:solidFill>
              <a:round/>
            </a:ln>
            <a:effectLst/>
          </c:spPr>
          <c:marker>
            <c:symbol val="none"/>
          </c:marker>
          <c:cat>
            <c:numRef>
              <c:f>'Sensitivity 2'!$AV$72:$AV$96</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2'!$AZ$72:$AZ$96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2-DF29-47F8-BBA6-A8D67ABD2894}"/>
            </c:ext>
          </c:extLst>
        </c:ser>
        <c:ser>
          <c:idx val="5"/>
          <c:order val="4"/>
          <c:tx>
            <c:strRef>
              <c:f>'Sensitivity 2'!$AY$71</c:f>
              <c:strCache>
                <c:ptCount val="1"/>
                <c:pt idx="0">
                  <c:v>Geological Risk</c:v>
                </c:pt>
              </c:strCache>
            </c:strRef>
          </c:tx>
          <c:spPr>
            <a:ln w="28575" cap="rnd">
              <a:solidFill>
                <a:schemeClr val="accent6"/>
              </a:solidFill>
              <a:round/>
            </a:ln>
            <a:effectLst/>
          </c:spPr>
          <c:marker>
            <c:symbol val="none"/>
          </c:marker>
          <c:val>
            <c:numRef>
              <c:f>'Sensitivity 2'!$AY$72:$AY$96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1-6AC1-4929-B684-95206A7FA510}"/>
            </c:ext>
          </c:extLst>
        </c:ser>
        <c:ser>
          <c:idx val="2"/>
          <c:order val="5"/>
          <c:tx>
            <c:strRef>
              <c:f>'Sensitivity 2'!$AX$71</c:f>
              <c:strCache>
                <c:ptCount val="1"/>
                <c:pt idx="0">
                  <c:v>Land Cost</c:v>
                </c:pt>
              </c:strCache>
            </c:strRef>
          </c:tx>
          <c:spPr>
            <a:ln w="28575" cap="rnd">
              <a:solidFill>
                <a:schemeClr val="accent3"/>
              </a:solidFill>
              <a:round/>
            </a:ln>
            <a:effectLst/>
          </c:spPr>
          <c:marker>
            <c:symbol val="none"/>
          </c:marker>
          <c:val>
            <c:numRef>
              <c:f>'Sensitivity 2'!$AX$72:$AX$96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0-6AC1-4929-B684-95206A7FA510}"/>
            </c:ext>
          </c:extLst>
        </c:ser>
        <c:ser>
          <c:idx val="0"/>
          <c:order val="6"/>
          <c:tx>
            <c:strRef>
              <c:f>'Sensitivity 2'!$AW$71</c:f>
              <c:strCache>
                <c:ptCount val="1"/>
                <c:pt idx="0">
                  <c:v>Baseline</c:v>
                </c:pt>
              </c:strCache>
            </c:strRef>
          </c:tx>
          <c:spPr>
            <a:ln w="28575" cap="rnd">
              <a:solidFill>
                <a:schemeClr val="accent1"/>
              </a:solidFill>
              <a:round/>
            </a:ln>
            <a:effectLst/>
          </c:spPr>
          <c:marker>
            <c:symbol val="none"/>
          </c:marker>
          <c:cat>
            <c:numRef>
              <c:f>'Sensitivity 2'!$AV$72:$AV$96</c:f>
              <c:numCache>
                <c:formatCode>"Y"0</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cat>
          <c:val>
            <c:numRef>
              <c:f>'Sensitivity 2'!$AW$72:$AW$96</c:f>
              <c:numCache>
                <c:formatCode>#,##0,;\(#,##0,\);\-\-</c:formatCode>
                <c:ptCount val="25"/>
                <c:pt idx="0">
                  <c:v>0</c:v>
                </c:pt>
                <c:pt idx="1">
                  <c:v>0</c:v>
                </c:pt>
                <c:pt idx="2">
                  <c:v>0</c:v>
                </c:pt>
                <c:pt idx="3">
                  <c:v>633095.51535999984</c:v>
                </c:pt>
                <c:pt idx="4">
                  <c:v>2570367.7923615985</c:v>
                </c:pt>
                <c:pt idx="5">
                  <c:v>1011021.988377719</c:v>
                </c:pt>
                <c:pt idx="6">
                  <c:v>1026187.3182033846</c:v>
                </c:pt>
                <c:pt idx="7">
                  <c:v>1041580.1279764354</c:v>
                </c:pt>
                <c:pt idx="8">
                  <c:v>1057203.8298960817</c:v>
                </c:pt>
                <c:pt idx="9">
                  <c:v>1073061.8873445229</c:v>
                </c:pt>
                <c:pt idx="10">
                  <c:v>1089157.8156546906</c:v>
                </c:pt>
                <c:pt idx="11">
                  <c:v>1105495.1828895109</c:v>
                </c:pt>
                <c:pt idx="12">
                  <c:v>1122077.6106328536</c:v>
                </c:pt>
                <c:pt idx="13">
                  <c:v>1862783.8405220169</c:v>
                </c:pt>
                <c:pt idx="14">
                  <c:v>4094925.173276694</c:v>
                </c:pt>
                <c:pt idx="15">
                  <c:v>1173332.2925104445</c:v>
                </c:pt>
                <c:pt idx="16">
                  <c:v>1190932.2768981012</c:v>
                </c:pt>
                <c:pt idx="17">
                  <c:v>1208796.2610515726</c:v>
                </c:pt>
                <c:pt idx="18">
                  <c:v>1226928.204967346</c:v>
                </c:pt>
                <c:pt idx="19">
                  <c:v>1245332.128041856</c:v>
                </c:pt>
                <c:pt idx="20">
                  <c:v>1264012.1099624839</c:v>
                </c:pt>
                <c:pt idx="21">
                  <c:v>1282972.2916119208</c:v>
                </c:pt>
                <c:pt idx="22">
                  <c:v>1302216.8759860995</c:v>
                </c:pt>
                <c:pt idx="23">
                  <c:v>1321750.1291258908</c:v>
                </c:pt>
                <c:pt idx="24">
                  <c:v>1341576.3810627791</c:v>
                </c:pt>
              </c:numCache>
            </c:numRef>
          </c:val>
          <c:smooth val="0"/>
          <c:extLst>
            <c:ext xmlns:c16="http://schemas.microsoft.com/office/drawing/2014/chart" uri="{C3380CC4-5D6E-409C-BE32-E72D297353CC}">
              <c16:uniqueId val="{00000000-DF29-47F8-BBA6-A8D67ABD2894}"/>
            </c:ext>
          </c:extLst>
        </c:ser>
        <c:dLbls>
          <c:showLegendKey val="0"/>
          <c:showVal val="0"/>
          <c:showCatName val="0"/>
          <c:showSerName val="0"/>
          <c:showPercent val="0"/>
          <c:showBubbleSize val="0"/>
        </c:dLbls>
        <c:smooth val="0"/>
        <c:axId val="1096787536"/>
        <c:axId val="1293136816"/>
      </c:lineChart>
      <c:catAx>
        <c:axId val="1096787536"/>
        <c:scaling>
          <c:orientation val="minMax"/>
        </c:scaling>
        <c:delete val="0"/>
        <c:axPos val="b"/>
        <c:numFmt formatCode="&quot;Y&quot;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293136816"/>
        <c:crosses val="autoZero"/>
        <c:auto val="1"/>
        <c:lblAlgn val="ctr"/>
        <c:lblOffset val="100"/>
        <c:noMultiLvlLbl val="0"/>
      </c:catAx>
      <c:valAx>
        <c:axId val="1293136816"/>
        <c:scaling>
          <c:orientation val="minMax"/>
        </c:scaling>
        <c:delete val="0"/>
        <c:axPos val="l"/>
        <c:majorGridlines>
          <c:spPr>
            <a:ln w="9525" cap="flat" cmpd="sng" algn="ctr">
              <a:solidFill>
                <a:schemeClr val="tx1">
                  <a:lumMod val="15000"/>
                  <a:lumOff val="85000"/>
                </a:schemeClr>
              </a:solidFill>
              <a:prstDash val="sysDot"/>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crossAx val="1096787536"/>
        <c:crosses val="autoZero"/>
        <c:crossBetween val="between"/>
      </c:valAx>
      <c:spPr>
        <a:noFill/>
        <a:ln>
          <a:noFill/>
        </a:ln>
        <a:effectLst/>
      </c:spPr>
    </c:plotArea>
    <c:legend>
      <c:legendPos val="r"/>
      <c:layout>
        <c:manualLayout>
          <c:xMode val="edge"/>
          <c:yMode val="edge"/>
          <c:x val="0.63716527894901187"/>
          <c:y val="2.0603453980017207E-2"/>
          <c:w val="0.35113692292957494"/>
          <c:h val="0.41100344074637729"/>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rial Nova" panose="020B05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ova" panose="020B05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20</xdr:col>
      <xdr:colOff>84138</xdr:colOff>
      <xdr:row>2</xdr:row>
      <xdr:rowOff>23813</xdr:rowOff>
    </xdr:from>
    <xdr:to>
      <xdr:col>27</xdr:col>
      <xdr:colOff>595313</xdr:colOff>
      <xdr:row>19</xdr:row>
      <xdr:rowOff>111126</xdr:rowOff>
    </xdr:to>
    <xdr:graphicFrame macro="">
      <xdr:nvGraphicFramePr>
        <xdr:cNvPr id="2" name="Chart 1">
          <a:extLst>
            <a:ext uri="{FF2B5EF4-FFF2-40B4-BE49-F238E27FC236}">
              <a16:creationId xmlns:a16="http://schemas.microsoft.com/office/drawing/2014/main" id="{1BCD5F56-29A9-48AC-80F1-D27EB9541B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73025</xdr:colOff>
      <xdr:row>2</xdr:row>
      <xdr:rowOff>31748</xdr:rowOff>
    </xdr:from>
    <xdr:to>
      <xdr:col>35</xdr:col>
      <xdr:colOff>595313</xdr:colOff>
      <xdr:row>19</xdr:row>
      <xdr:rowOff>111124</xdr:rowOff>
    </xdr:to>
    <xdr:graphicFrame macro="">
      <xdr:nvGraphicFramePr>
        <xdr:cNvPr id="5" name="Chart 4">
          <a:extLst>
            <a:ext uri="{FF2B5EF4-FFF2-40B4-BE49-F238E27FC236}">
              <a16:creationId xmlns:a16="http://schemas.microsoft.com/office/drawing/2014/main" id="{35F03C6C-6DF9-4A1E-9A99-ECD16996F2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95249</xdr:colOff>
      <xdr:row>20</xdr:row>
      <xdr:rowOff>1587</xdr:rowOff>
    </xdr:from>
    <xdr:to>
      <xdr:col>28</xdr:col>
      <xdr:colOff>15875</xdr:colOff>
      <xdr:row>37</xdr:row>
      <xdr:rowOff>55563</xdr:rowOff>
    </xdr:to>
    <xdr:graphicFrame macro="">
      <xdr:nvGraphicFramePr>
        <xdr:cNvPr id="7" name="Chart 6">
          <a:extLst>
            <a:ext uri="{FF2B5EF4-FFF2-40B4-BE49-F238E27FC236}">
              <a16:creationId xmlns:a16="http://schemas.microsoft.com/office/drawing/2014/main" id="{9307AC15-A190-4FA8-B005-4DD057A634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68262</xdr:colOff>
      <xdr:row>20</xdr:row>
      <xdr:rowOff>9526</xdr:rowOff>
    </xdr:from>
    <xdr:to>
      <xdr:col>35</xdr:col>
      <xdr:colOff>603249</xdr:colOff>
      <xdr:row>37</xdr:row>
      <xdr:rowOff>63501</xdr:rowOff>
    </xdr:to>
    <xdr:graphicFrame macro="">
      <xdr:nvGraphicFramePr>
        <xdr:cNvPr id="10" name="Chart 9">
          <a:extLst>
            <a:ext uri="{FF2B5EF4-FFF2-40B4-BE49-F238E27FC236}">
              <a16:creationId xmlns:a16="http://schemas.microsoft.com/office/drawing/2014/main" id="{FCC429A9-99C1-4472-A548-83A2FB58A7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DB03-5A12-42F8-8D4A-807EA4AC5468}">
  <dimension ref="B2:B27"/>
  <sheetViews>
    <sheetView workbookViewId="0">
      <selection activeCell="B2" sqref="B2"/>
    </sheetView>
  </sheetViews>
  <sheetFormatPr defaultRowHeight="14.5" x14ac:dyDescent="0.35"/>
  <cols>
    <col min="1" max="1" width="5.6328125" customWidth="1"/>
    <col min="2" max="2" width="151.08984375" customWidth="1"/>
  </cols>
  <sheetData>
    <row r="2" spans="2:2" ht="18" x14ac:dyDescent="0.5">
      <c r="B2" s="130" t="s">
        <v>164</v>
      </c>
    </row>
    <row r="4" spans="2:2" ht="43.5" x14ac:dyDescent="0.35">
      <c r="B4" s="8" t="s">
        <v>192</v>
      </c>
    </row>
    <row r="5" spans="2:2" x14ac:dyDescent="0.35">
      <c r="B5" s="8"/>
    </row>
    <row r="6" spans="2:2" x14ac:dyDescent="0.35">
      <c r="B6" s="8" t="s">
        <v>165</v>
      </c>
    </row>
    <row r="7" spans="2:2" x14ac:dyDescent="0.35">
      <c r="B7" s="8" t="s">
        <v>166</v>
      </c>
    </row>
    <row r="8" spans="2:2" x14ac:dyDescent="0.35">
      <c r="B8" s="8" t="s">
        <v>167</v>
      </c>
    </row>
    <row r="9" spans="2:2" ht="29" x14ac:dyDescent="0.35">
      <c r="B9" s="8" t="s">
        <v>168</v>
      </c>
    </row>
    <row r="10" spans="2:2" x14ac:dyDescent="0.35">
      <c r="B10" s="8" t="s">
        <v>169</v>
      </c>
    </row>
    <row r="11" spans="2:2" x14ac:dyDescent="0.35">
      <c r="B11" s="8" t="s">
        <v>170</v>
      </c>
    </row>
    <row r="12" spans="2:2" x14ac:dyDescent="0.35">
      <c r="B12" s="8"/>
    </row>
    <row r="13" spans="2:2" x14ac:dyDescent="0.35">
      <c r="B13" s="8" t="s">
        <v>171</v>
      </c>
    </row>
    <row r="14" spans="2:2" x14ac:dyDescent="0.35">
      <c r="B14" s="8" t="s">
        <v>172</v>
      </c>
    </row>
    <row r="15" spans="2:2" x14ac:dyDescent="0.35">
      <c r="B15" s="8" t="s">
        <v>173</v>
      </c>
    </row>
    <row r="16" spans="2:2" x14ac:dyDescent="0.35">
      <c r="B16" s="8" t="s">
        <v>174</v>
      </c>
    </row>
    <row r="17" spans="2:2" x14ac:dyDescent="0.35">
      <c r="B17" s="8"/>
    </row>
    <row r="18" spans="2:2" ht="29" x14ac:dyDescent="0.35">
      <c r="B18" s="8" t="s">
        <v>193</v>
      </c>
    </row>
    <row r="19" spans="2:2" x14ac:dyDescent="0.35">
      <c r="B19" s="8" t="s">
        <v>175</v>
      </c>
    </row>
    <row r="20" spans="2:2" x14ac:dyDescent="0.35">
      <c r="B20" s="8" t="s">
        <v>176</v>
      </c>
    </row>
    <row r="21" spans="2:2" x14ac:dyDescent="0.35">
      <c r="B21" s="8" t="s">
        <v>177</v>
      </c>
    </row>
    <row r="22" spans="2:2" x14ac:dyDescent="0.35">
      <c r="B22" s="8" t="s">
        <v>178</v>
      </c>
    </row>
    <row r="23" spans="2:2" x14ac:dyDescent="0.35">
      <c r="B23" s="8" t="s">
        <v>179</v>
      </c>
    </row>
    <row r="24" spans="2:2" x14ac:dyDescent="0.35">
      <c r="B24" s="8" t="s">
        <v>180</v>
      </c>
    </row>
    <row r="25" spans="2:2" x14ac:dyDescent="0.35">
      <c r="B25" s="8" t="s">
        <v>181</v>
      </c>
    </row>
    <row r="26" spans="2:2" x14ac:dyDescent="0.35">
      <c r="B26" s="8" t="s">
        <v>182</v>
      </c>
    </row>
    <row r="27" spans="2:2" x14ac:dyDescent="0.35">
      <c r="B27" s="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9EEA0-71B7-474D-9614-98E060C31E58}">
  <dimension ref="B2:B13"/>
  <sheetViews>
    <sheetView tabSelected="1" workbookViewId="0">
      <selection activeCell="B2" sqref="B2"/>
    </sheetView>
  </sheetViews>
  <sheetFormatPr defaultRowHeight="14.5" x14ac:dyDescent="0.35"/>
  <cols>
    <col min="1" max="1" width="6.36328125" customWidth="1"/>
    <col min="2" max="2" width="150" customWidth="1"/>
  </cols>
  <sheetData>
    <row r="2" spans="2:2" ht="18" x14ac:dyDescent="0.35">
      <c r="B2" s="131" t="s">
        <v>191</v>
      </c>
    </row>
    <row r="4" spans="2:2" ht="29" x14ac:dyDescent="0.35">
      <c r="B4" s="8" t="s">
        <v>183</v>
      </c>
    </row>
    <row r="5" spans="2:2" x14ac:dyDescent="0.35">
      <c r="B5" s="8" t="s">
        <v>184</v>
      </c>
    </row>
    <row r="6" spans="2:2" ht="29" x14ac:dyDescent="0.35">
      <c r="B6" s="8" t="s">
        <v>185</v>
      </c>
    </row>
    <row r="7" spans="2:2" ht="29" x14ac:dyDescent="0.35">
      <c r="B7" s="8" t="s">
        <v>194</v>
      </c>
    </row>
    <row r="9" spans="2:2" x14ac:dyDescent="0.35">
      <c r="B9" t="s">
        <v>186</v>
      </c>
    </row>
    <row r="10" spans="2:2" x14ac:dyDescent="0.35">
      <c r="B10" t="s">
        <v>187</v>
      </c>
    </row>
    <row r="11" spans="2:2" x14ac:dyDescent="0.35">
      <c r="B11" t="s">
        <v>188</v>
      </c>
    </row>
    <row r="12" spans="2:2" x14ac:dyDescent="0.35">
      <c r="B12" t="s">
        <v>189</v>
      </c>
    </row>
    <row r="13" spans="2:2" x14ac:dyDescent="0.35">
      <c r="B13" t="s">
        <v>190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C72FF-33A9-454A-9427-7788EC6BA1D4}">
  <dimension ref="A1:Z81"/>
  <sheetViews>
    <sheetView showGridLines="0" zoomScale="80" zoomScaleNormal="80" workbookViewId="0">
      <pane xSplit="2" ySplit="7" topLeftCell="C8" activePane="bottomRight" state="frozen"/>
      <selection pane="topRight" activeCell="C1" sqref="C1"/>
      <selection pane="bottomLeft" activeCell="A8" sqref="A8"/>
      <selection pane="bottomRight" activeCell="B6" sqref="B6"/>
    </sheetView>
  </sheetViews>
  <sheetFormatPr defaultRowHeight="14.5" x14ac:dyDescent="0.35"/>
  <cols>
    <col min="1" max="1" width="4.54296875" customWidth="1"/>
    <col min="2" max="2" width="58.453125" bestFit="1" customWidth="1"/>
    <col min="3" max="3" width="18.54296875" customWidth="1"/>
    <col min="4" max="4" width="18.54296875" bestFit="1" customWidth="1"/>
    <col min="5" max="5" width="12.08984375" bestFit="1" customWidth="1"/>
    <col min="6" max="6" width="17.54296875" bestFit="1" customWidth="1"/>
    <col min="7" max="7" width="12.90625" customWidth="1"/>
    <col min="8" max="10" width="7.36328125" customWidth="1"/>
    <col min="11" max="14" width="9.08984375" customWidth="1"/>
  </cols>
  <sheetData>
    <row r="1" spans="2:26" x14ac:dyDescent="0.35">
      <c r="B1" s="3" t="s">
        <v>40</v>
      </c>
      <c r="C1" s="3"/>
    </row>
    <row r="2" spans="2:26" x14ac:dyDescent="0.35">
      <c r="B2" s="16" t="s">
        <v>96</v>
      </c>
      <c r="C2" s="3"/>
      <c r="I2" s="18"/>
    </row>
    <row r="3" spans="2:26" x14ac:dyDescent="0.35">
      <c r="B3" t="s">
        <v>68</v>
      </c>
    </row>
    <row r="4" spans="2:26" ht="7.5" customHeight="1" x14ac:dyDescent="0.35"/>
    <row r="5" spans="2:26" x14ac:dyDescent="0.35">
      <c r="B5" s="48" t="s">
        <v>98</v>
      </c>
      <c r="C5" s="49"/>
      <c r="D5" s="49"/>
      <c r="E5" s="49"/>
      <c r="F5" s="49"/>
      <c r="G5" s="49"/>
      <c r="H5" s="49"/>
      <c r="I5" s="49"/>
      <c r="J5" s="49"/>
      <c r="K5" s="49"/>
      <c r="L5" s="49"/>
      <c r="M5" s="49"/>
      <c r="N5" s="49"/>
    </row>
    <row r="6" spans="2:26" s="50" customFormat="1" x14ac:dyDescent="0.35">
      <c r="B6" s="51"/>
      <c r="C6" s="52"/>
      <c r="D6" s="52"/>
      <c r="E6" s="52"/>
      <c r="F6" s="52"/>
    </row>
    <row r="7" spans="2:26" ht="29" x14ac:dyDescent="0.35">
      <c r="B7" s="28" t="s">
        <v>13</v>
      </c>
      <c r="C7" s="28" t="s">
        <v>6</v>
      </c>
      <c r="D7" s="29" t="s">
        <v>95</v>
      </c>
      <c r="E7" s="29" t="s">
        <v>22</v>
      </c>
      <c r="F7" s="29" t="s">
        <v>94</v>
      </c>
      <c r="G7" s="57">
        <v>0</v>
      </c>
      <c r="H7" s="58">
        <f t="shared" ref="H7:L7" si="0">G7+1</f>
        <v>1</v>
      </c>
      <c r="I7" s="58">
        <f t="shared" si="0"/>
        <v>2</v>
      </c>
      <c r="J7" s="58">
        <f t="shared" si="0"/>
        <v>3</v>
      </c>
      <c r="K7" s="58">
        <f t="shared" si="0"/>
        <v>4</v>
      </c>
      <c r="L7" s="58">
        <f t="shared" si="0"/>
        <v>5</v>
      </c>
      <c r="M7" s="59"/>
      <c r="N7" s="59"/>
      <c r="O7" s="56"/>
      <c r="P7" s="56"/>
      <c r="Q7" s="56"/>
      <c r="R7" s="56"/>
      <c r="S7" s="56"/>
      <c r="T7" s="56"/>
      <c r="U7" s="56"/>
      <c r="V7" s="56"/>
      <c r="W7" s="56"/>
      <c r="X7" s="56"/>
      <c r="Y7" s="56"/>
      <c r="Z7" s="56"/>
    </row>
    <row r="8" spans="2:26" x14ac:dyDescent="0.35">
      <c r="B8" s="21" t="s">
        <v>72</v>
      </c>
      <c r="C8" s="4"/>
      <c r="D8" s="2"/>
      <c r="E8" s="4"/>
      <c r="F8" s="2"/>
    </row>
    <row r="9" spans="2:26" x14ac:dyDescent="0.35">
      <c r="B9" s="101" t="s">
        <v>23</v>
      </c>
      <c r="C9" s="24" t="s">
        <v>17</v>
      </c>
      <c r="D9" s="96">
        <v>300</v>
      </c>
      <c r="E9" s="114">
        <v>250</v>
      </c>
      <c r="F9" s="100">
        <f>+E9*D9</f>
        <v>75000</v>
      </c>
      <c r="G9" s="95">
        <v>1</v>
      </c>
      <c r="H9" s="95"/>
      <c r="I9" s="95"/>
      <c r="J9" s="95"/>
      <c r="K9" s="117"/>
      <c r="L9" s="118"/>
      <c r="M9" s="116"/>
      <c r="N9" s="116"/>
    </row>
    <row r="10" spans="2:26" x14ac:dyDescent="0.35">
      <c r="B10" s="101" t="s">
        <v>24</v>
      </c>
      <c r="C10" s="24" t="s">
        <v>16</v>
      </c>
      <c r="D10" s="96">
        <v>50000</v>
      </c>
      <c r="E10" s="114">
        <v>1</v>
      </c>
      <c r="F10" s="100">
        <f>+E10*D10</f>
        <v>50000</v>
      </c>
      <c r="G10" s="95">
        <v>1</v>
      </c>
      <c r="H10" s="95"/>
      <c r="I10" s="95"/>
      <c r="J10" s="95"/>
      <c r="K10" s="117"/>
      <c r="L10" s="118"/>
      <c r="M10" s="116"/>
      <c r="N10" s="116"/>
    </row>
    <row r="11" spans="2:26" x14ac:dyDescent="0.35">
      <c r="B11" s="101" t="s">
        <v>25</v>
      </c>
      <c r="C11" s="24" t="s">
        <v>17</v>
      </c>
      <c r="D11" s="96">
        <v>6000</v>
      </c>
      <c r="E11" s="114">
        <v>250</v>
      </c>
      <c r="F11" s="100">
        <f>+E11*D11</f>
        <v>1500000</v>
      </c>
      <c r="G11" s="95">
        <v>1</v>
      </c>
      <c r="H11" s="95"/>
      <c r="I11" s="95"/>
      <c r="J11" s="95"/>
      <c r="K11" s="117"/>
      <c r="L11" s="118"/>
      <c r="M11" s="116"/>
      <c r="N11" s="116"/>
    </row>
    <row r="12" spans="2:26" x14ac:dyDescent="0.35">
      <c r="B12" s="101" t="s">
        <v>26</v>
      </c>
      <c r="C12" s="24" t="s">
        <v>16</v>
      </c>
      <c r="D12" s="96">
        <v>250000</v>
      </c>
      <c r="E12" s="114">
        <v>1</v>
      </c>
      <c r="F12" s="100">
        <f>+E12*D12</f>
        <v>250000</v>
      </c>
      <c r="G12" s="95">
        <v>1</v>
      </c>
      <c r="H12" s="95"/>
      <c r="I12" s="95"/>
      <c r="J12" s="95"/>
      <c r="K12" s="117"/>
      <c r="L12" s="118"/>
      <c r="M12" s="116"/>
      <c r="N12" s="116"/>
    </row>
    <row r="13" spans="2:26" x14ac:dyDescent="0.35">
      <c r="B13" s="30"/>
      <c r="C13" s="31"/>
      <c r="D13" s="89"/>
      <c r="E13" s="33" t="s">
        <v>45</v>
      </c>
      <c r="F13" s="43">
        <f>SUM(F9:F12)</f>
        <v>1875000</v>
      </c>
      <c r="G13" s="53"/>
      <c r="H13" s="53"/>
      <c r="I13" s="53"/>
      <c r="J13" s="53"/>
      <c r="K13" s="43"/>
      <c r="L13" s="43"/>
      <c r="M13" s="43"/>
      <c r="N13" s="43"/>
    </row>
    <row r="14" spans="2:26" x14ac:dyDescent="0.35">
      <c r="B14" s="26" t="s">
        <v>101</v>
      </c>
      <c r="C14" s="4"/>
      <c r="D14" s="90"/>
      <c r="E14" s="12"/>
      <c r="F14" s="5"/>
      <c r="G14" s="54">
        <v>0</v>
      </c>
      <c r="H14" s="55">
        <f t="shared" ref="H14:L14" si="1">G14+1</f>
        <v>1</v>
      </c>
      <c r="I14" s="55">
        <f t="shared" si="1"/>
        <v>2</v>
      </c>
      <c r="J14" s="55">
        <f t="shared" si="1"/>
        <v>3</v>
      </c>
      <c r="K14" s="55">
        <f t="shared" si="1"/>
        <v>4</v>
      </c>
      <c r="L14" s="55">
        <f t="shared" si="1"/>
        <v>5</v>
      </c>
    </row>
    <row r="15" spans="2:26" x14ac:dyDescent="0.35">
      <c r="B15" s="97" t="s">
        <v>14</v>
      </c>
      <c r="C15" s="24" t="s">
        <v>17</v>
      </c>
      <c r="D15" s="98">
        <f>+'Sensitivity 2'!D7</f>
        <v>8000</v>
      </c>
      <c r="E15" s="99">
        <v>250</v>
      </c>
      <c r="F15" s="100">
        <f t="shared" ref="F15:F26" si="2">+E15*D15</f>
        <v>2000000</v>
      </c>
      <c r="G15" s="95"/>
      <c r="H15" s="95">
        <v>1</v>
      </c>
      <c r="I15" s="95"/>
      <c r="J15" s="95"/>
      <c r="K15" s="117"/>
      <c r="L15" s="118"/>
      <c r="M15" s="116"/>
      <c r="N15" s="116"/>
    </row>
    <row r="16" spans="2:26" x14ac:dyDescent="0.35">
      <c r="B16" s="97" t="s">
        <v>15</v>
      </c>
      <c r="C16" s="24" t="s">
        <v>17</v>
      </c>
      <c r="D16" s="96">
        <v>500</v>
      </c>
      <c r="E16" s="99">
        <v>120</v>
      </c>
      <c r="F16" s="100">
        <f t="shared" si="2"/>
        <v>60000</v>
      </c>
      <c r="G16" s="95"/>
      <c r="H16" s="95">
        <v>0.5</v>
      </c>
      <c r="I16" s="95">
        <v>0.5</v>
      </c>
      <c r="J16" s="95"/>
      <c r="K16" s="95"/>
      <c r="L16" s="117"/>
      <c r="M16" s="118"/>
      <c r="N16" s="116"/>
    </row>
    <row r="17" spans="2:14" ht="16.5" x14ac:dyDescent="0.35">
      <c r="B17" s="97" t="s">
        <v>32</v>
      </c>
      <c r="C17" s="24" t="s">
        <v>138</v>
      </c>
      <c r="D17" s="98">
        <f>'Sensitivity 2'!D9</f>
        <v>12</v>
      </c>
      <c r="E17" s="98">
        <f>'Sensitivity 2'!D8</f>
        <v>225000</v>
      </c>
      <c r="F17" s="100">
        <f t="shared" si="2"/>
        <v>2700000</v>
      </c>
      <c r="G17" s="95"/>
      <c r="H17" s="95">
        <v>0.15</v>
      </c>
      <c r="I17" s="95">
        <v>0.65</v>
      </c>
      <c r="J17" s="95">
        <v>0.2</v>
      </c>
      <c r="K17" s="95"/>
      <c r="L17" s="117"/>
      <c r="M17" s="118"/>
      <c r="N17" s="116"/>
    </row>
    <row r="18" spans="2:14" ht="16.5" x14ac:dyDescent="0.35">
      <c r="B18" s="97" t="s">
        <v>31</v>
      </c>
      <c r="C18" s="24" t="s">
        <v>138</v>
      </c>
      <c r="D18" s="98">
        <f>'Sensitivity 2'!D11</f>
        <v>650</v>
      </c>
      <c r="E18" s="98">
        <f>'Sensitivity 2'!D10</f>
        <v>15000</v>
      </c>
      <c r="F18" s="100">
        <f>+E18*D18</f>
        <v>9750000</v>
      </c>
      <c r="G18" s="95"/>
      <c r="H18" s="95"/>
      <c r="I18" s="95">
        <v>0.25</v>
      </c>
      <c r="J18" s="95">
        <v>0.45</v>
      </c>
      <c r="K18" s="95">
        <v>0.3</v>
      </c>
      <c r="L18" s="117"/>
      <c r="M18" s="118"/>
      <c r="N18" s="116"/>
    </row>
    <row r="19" spans="2:14" ht="16.5" x14ac:dyDescent="0.35">
      <c r="B19" s="97" t="s">
        <v>35</v>
      </c>
      <c r="C19" s="24" t="s">
        <v>138</v>
      </c>
      <c r="D19" s="96">
        <v>25</v>
      </c>
      <c r="E19" s="99">
        <f>5600*2</f>
        <v>11200</v>
      </c>
      <c r="F19" s="100">
        <f t="shared" si="2"/>
        <v>280000</v>
      </c>
      <c r="G19" s="95"/>
      <c r="H19" s="95"/>
      <c r="I19" s="95">
        <v>0.25</v>
      </c>
      <c r="J19" s="95">
        <v>0.45</v>
      </c>
      <c r="K19" s="95">
        <v>0.3</v>
      </c>
      <c r="L19" s="117"/>
      <c r="M19" s="118"/>
      <c r="N19" s="116"/>
    </row>
    <row r="20" spans="2:14" x14ac:dyDescent="0.35">
      <c r="B20" s="97" t="s">
        <v>29</v>
      </c>
      <c r="C20" s="24" t="s">
        <v>137</v>
      </c>
      <c r="D20" s="96">
        <v>120</v>
      </c>
      <c r="E20" s="114">
        <v>5600</v>
      </c>
      <c r="F20" s="100">
        <f>+E20*D20</f>
        <v>672000</v>
      </c>
      <c r="G20" s="95"/>
      <c r="H20" s="95"/>
      <c r="I20" s="95"/>
      <c r="J20" s="95">
        <v>0.3</v>
      </c>
      <c r="K20" s="95">
        <v>0.7</v>
      </c>
      <c r="L20" s="117"/>
      <c r="M20" s="118"/>
      <c r="N20" s="116"/>
    </row>
    <row r="21" spans="2:14" x14ac:dyDescent="0.35">
      <c r="B21" s="97" t="s">
        <v>30</v>
      </c>
      <c r="C21" s="24" t="s">
        <v>19</v>
      </c>
      <c r="D21" s="96">
        <v>55000</v>
      </c>
      <c r="E21" s="114">
        <v>2</v>
      </c>
      <c r="F21" s="100">
        <f t="shared" si="2"/>
        <v>110000</v>
      </c>
      <c r="G21" s="95"/>
      <c r="H21" s="95"/>
      <c r="I21" s="95"/>
      <c r="J21" s="95">
        <v>0.4</v>
      </c>
      <c r="K21" s="95">
        <v>0.6</v>
      </c>
      <c r="L21" s="117"/>
      <c r="M21" s="118"/>
      <c r="N21" s="116"/>
    </row>
    <row r="22" spans="2:14" x14ac:dyDescent="0.35">
      <c r="B22" s="97" t="s">
        <v>21</v>
      </c>
      <c r="C22" s="24" t="s">
        <v>19</v>
      </c>
      <c r="D22" s="96">
        <v>5500</v>
      </c>
      <c r="E22" s="114">
        <v>8</v>
      </c>
      <c r="F22" s="100">
        <f t="shared" si="2"/>
        <v>44000</v>
      </c>
      <c r="G22" s="95"/>
      <c r="H22" s="95"/>
      <c r="I22" s="95"/>
      <c r="J22" s="95">
        <v>0.3</v>
      </c>
      <c r="K22" s="95">
        <v>0.7</v>
      </c>
      <c r="L22" s="117"/>
      <c r="M22" s="118"/>
      <c r="N22" s="116"/>
    </row>
    <row r="23" spans="2:14" x14ac:dyDescent="0.35">
      <c r="B23" s="97" t="s">
        <v>33</v>
      </c>
      <c r="C23" s="24" t="s">
        <v>19</v>
      </c>
      <c r="D23" s="96">
        <v>6000</v>
      </c>
      <c r="E23" s="114">
        <v>2</v>
      </c>
      <c r="F23" s="100">
        <f t="shared" si="2"/>
        <v>12000</v>
      </c>
      <c r="G23" s="95"/>
      <c r="H23" s="95"/>
      <c r="I23" s="95"/>
      <c r="J23" s="95">
        <v>0.3</v>
      </c>
      <c r="K23" s="95">
        <v>0.7</v>
      </c>
      <c r="L23" s="117"/>
      <c r="M23" s="118"/>
      <c r="N23" s="116"/>
    </row>
    <row r="24" spans="2:14" x14ac:dyDescent="0.35">
      <c r="B24" s="97" t="s">
        <v>34</v>
      </c>
      <c r="C24" s="24" t="s">
        <v>19</v>
      </c>
      <c r="D24" s="96">
        <v>3000</v>
      </c>
      <c r="E24" s="114">
        <v>8</v>
      </c>
      <c r="F24" s="100">
        <f t="shared" si="2"/>
        <v>24000</v>
      </c>
      <c r="G24" s="95"/>
      <c r="H24" s="95"/>
      <c r="I24" s="95"/>
      <c r="J24" s="95">
        <v>0.3</v>
      </c>
      <c r="K24" s="95">
        <v>0.7</v>
      </c>
      <c r="L24" s="117"/>
      <c r="M24" s="118"/>
      <c r="N24" s="116"/>
    </row>
    <row r="25" spans="2:14" x14ac:dyDescent="0.35">
      <c r="B25" s="97" t="s">
        <v>38</v>
      </c>
      <c r="C25" s="24" t="s">
        <v>20</v>
      </c>
      <c r="D25" s="96">
        <v>30</v>
      </c>
      <c r="E25" s="114">
        <v>6500</v>
      </c>
      <c r="F25" s="100">
        <f t="shared" si="2"/>
        <v>195000</v>
      </c>
      <c r="G25" s="95"/>
      <c r="H25" s="95"/>
      <c r="I25" s="95"/>
      <c r="J25" s="95">
        <v>0.5</v>
      </c>
      <c r="K25" s="95">
        <v>0.5</v>
      </c>
      <c r="L25" s="117"/>
      <c r="M25" s="118"/>
      <c r="N25" s="116"/>
    </row>
    <row r="26" spans="2:14" x14ac:dyDescent="0.35">
      <c r="B26" s="97" t="s">
        <v>50</v>
      </c>
      <c r="C26" s="24" t="s">
        <v>19</v>
      </c>
      <c r="D26" s="96">
        <v>2400</v>
      </c>
      <c r="E26" s="114">
        <v>2</v>
      </c>
      <c r="F26" s="100">
        <f t="shared" si="2"/>
        <v>4800</v>
      </c>
      <c r="G26" s="95"/>
      <c r="H26" s="95"/>
      <c r="I26" s="95"/>
      <c r="J26" s="95"/>
      <c r="K26" s="95">
        <v>1</v>
      </c>
      <c r="L26" s="117"/>
      <c r="M26" s="118"/>
      <c r="N26" s="116"/>
    </row>
    <row r="27" spans="2:14" x14ac:dyDescent="0.35">
      <c r="B27" s="34"/>
      <c r="C27" s="31"/>
      <c r="D27" s="89"/>
      <c r="E27" s="33" t="s">
        <v>45</v>
      </c>
      <c r="F27" s="43">
        <f>SUM(F15:F26)</f>
        <v>15851800</v>
      </c>
      <c r="G27" s="43"/>
      <c r="H27" s="43"/>
      <c r="I27" s="43"/>
      <c r="J27" s="43"/>
      <c r="K27" s="43"/>
      <c r="L27" s="43"/>
      <c r="M27" s="43"/>
      <c r="N27" s="43"/>
    </row>
    <row r="28" spans="2:14" x14ac:dyDescent="0.35">
      <c r="B28" s="3" t="s">
        <v>102</v>
      </c>
      <c r="C28" s="4"/>
      <c r="D28" s="90"/>
      <c r="E28" s="12"/>
      <c r="F28" s="5"/>
      <c r="G28" s="54">
        <v>0</v>
      </c>
      <c r="H28" s="55">
        <f t="shared" ref="H28:L28" si="3">G28+1</f>
        <v>1</v>
      </c>
      <c r="I28" s="55">
        <f t="shared" si="3"/>
        <v>2</v>
      </c>
      <c r="J28" s="55">
        <f t="shared" si="3"/>
        <v>3</v>
      </c>
      <c r="K28" s="55">
        <f t="shared" si="3"/>
        <v>4</v>
      </c>
      <c r="L28" s="55">
        <f t="shared" si="3"/>
        <v>5</v>
      </c>
    </row>
    <row r="29" spans="2:14" x14ac:dyDescent="0.35">
      <c r="B29" s="97" t="s">
        <v>18</v>
      </c>
      <c r="C29" s="24" t="s">
        <v>19</v>
      </c>
      <c r="D29" s="96">
        <v>150</v>
      </c>
      <c r="E29" s="99">
        <f>'Project Assumptions'!E70/4</f>
        <v>400</v>
      </c>
      <c r="F29" s="100">
        <f>+E29*D29</f>
        <v>60000</v>
      </c>
      <c r="G29" s="95"/>
      <c r="H29" s="95"/>
      <c r="I29" s="95"/>
      <c r="J29" s="95">
        <v>0.5</v>
      </c>
      <c r="K29" s="95">
        <v>0.5</v>
      </c>
      <c r="L29" s="118"/>
      <c r="M29" s="118"/>
      <c r="N29" s="118"/>
    </row>
    <row r="30" spans="2:14" x14ac:dyDescent="0.35">
      <c r="B30" s="97" t="s">
        <v>36</v>
      </c>
      <c r="C30" s="24" t="s">
        <v>19</v>
      </c>
      <c r="D30" s="96">
        <v>200</v>
      </c>
      <c r="E30" s="99">
        <f>+'Project Assumptions'!E70/4</f>
        <v>400</v>
      </c>
      <c r="F30" s="100">
        <f>+E30*D30</f>
        <v>80000</v>
      </c>
      <c r="G30" s="95"/>
      <c r="H30" s="95"/>
      <c r="I30" s="95"/>
      <c r="J30" s="95">
        <v>0.5</v>
      </c>
      <c r="K30" s="95">
        <v>0.5</v>
      </c>
      <c r="L30" s="118"/>
      <c r="M30" s="118"/>
      <c r="N30" s="118"/>
    </row>
    <row r="31" spans="2:14" x14ac:dyDescent="0.35">
      <c r="B31" s="97" t="s">
        <v>37</v>
      </c>
      <c r="C31" s="24" t="s">
        <v>20</v>
      </c>
      <c r="D31" s="96">
        <v>2</v>
      </c>
      <c r="E31" s="99">
        <f>'Project Assumptions'!E70*100*20</f>
        <v>3200000</v>
      </c>
      <c r="F31" s="100">
        <f>+E31*D31</f>
        <v>6400000</v>
      </c>
      <c r="G31" s="95"/>
      <c r="H31" s="95"/>
      <c r="I31" s="95">
        <v>0.4</v>
      </c>
      <c r="J31" s="95">
        <v>0.4</v>
      </c>
      <c r="K31" s="95">
        <v>0.2</v>
      </c>
      <c r="L31" s="118"/>
      <c r="M31" s="118"/>
      <c r="N31" s="118"/>
    </row>
    <row r="32" spans="2:14" x14ac:dyDescent="0.35">
      <c r="B32" s="97" t="s">
        <v>28</v>
      </c>
      <c r="C32" s="24" t="s">
        <v>19</v>
      </c>
      <c r="D32" s="96">
        <v>60</v>
      </c>
      <c r="E32" s="99">
        <f>+'Project Assumptions'!E70/4</f>
        <v>400</v>
      </c>
      <c r="F32" s="100">
        <f>+E32*D32</f>
        <v>24000</v>
      </c>
      <c r="G32" s="95"/>
      <c r="H32" s="95"/>
      <c r="I32" s="95"/>
      <c r="J32" s="95"/>
      <c r="K32" s="95">
        <v>1</v>
      </c>
      <c r="L32" s="118"/>
      <c r="M32" s="118"/>
      <c r="N32" s="118"/>
    </row>
    <row r="33" spans="1:14" x14ac:dyDescent="0.35">
      <c r="B33" s="97" t="s">
        <v>38</v>
      </c>
      <c r="C33" s="24" t="s">
        <v>20</v>
      </c>
      <c r="D33" s="96">
        <v>1</v>
      </c>
      <c r="E33" s="99">
        <f>+'Project Assumptions'!E70/4*500</f>
        <v>200000</v>
      </c>
      <c r="F33" s="100">
        <f>+E33*D33</f>
        <v>200000</v>
      </c>
      <c r="G33" s="95"/>
      <c r="H33" s="95"/>
      <c r="I33" s="95">
        <v>0.3</v>
      </c>
      <c r="J33" s="95">
        <v>0.4</v>
      </c>
      <c r="K33" s="95">
        <v>0.3</v>
      </c>
      <c r="L33" s="118"/>
      <c r="M33" s="118"/>
      <c r="N33" s="118"/>
    </row>
    <row r="34" spans="1:14" x14ac:dyDescent="0.35">
      <c r="B34" s="34"/>
      <c r="C34" s="31"/>
      <c r="D34" s="89"/>
      <c r="E34" s="33" t="s">
        <v>45</v>
      </c>
      <c r="F34" s="43">
        <f>SUM(F29:F33)</f>
        <v>6764000</v>
      </c>
      <c r="G34" s="43"/>
      <c r="H34" s="43"/>
      <c r="I34" s="43"/>
      <c r="J34" s="43"/>
      <c r="K34" s="43"/>
      <c r="L34" s="43"/>
      <c r="M34" s="43"/>
      <c r="N34" s="43"/>
    </row>
    <row r="35" spans="1:14" x14ac:dyDescent="0.35">
      <c r="B35" s="3" t="s">
        <v>99</v>
      </c>
      <c r="C35" s="4"/>
      <c r="D35" s="90"/>
      <c r="F35" s="5"/>
      <c r="G35" s="54">
        <v>0</v>
      </c>
      <c r="H35" s="55">
        <f t="shared" ref="H35:N35" si="4">G35+1</f>
        <v>1</v>
      </c>
      <c r="I35" s="55">
        <f t="shared" si="4"/>
        <v>2</v>
      </c>
      <c r="J35" s="55">
        <f t="shared" si="4"/>
        <v>3</v>
      </c>
      <c r="K35" s="55">
        <f t="shared" si="4"/>
        <v>4</v>
      </c>
      <c r="L35" s="55">
        <f t="shared" si="4"/>
        <v>5</v>
      </c>
      <c r="M35" s="55">
        <v>13</v>
      </c>
      <c r="N35" s="55">
        <f t="shared" si="4"/>
        <v>14</v>
      </c>
    </row>
    <row r="36" spans="1:14" x14ac:dyDescent="0.35">
      <c r="A36" s="22"/>
      <c r="B36" t="s">
        <v>27</v>
      </c>
      <c r="C36" s="4" t="s">
        <v>19</v>
      </c>
      <c r="D36" s="91">
        <f>170000*'Sensitivity 2'!$D$6</f>
        <v>146200</v>
      </c>
      <c r="E36" s="47">
        <f>+'Project Assumptions'!E$70/200</f>
        <v>8</v>
      </c>
      <c r="F36" s="44">
        <f>+E36*D36</f>
        <v>1169600</v>
      </c>
      <c r="G36" s="119"/>
      <c r="H36" s="116"/>
      <c r="I36" s="115"/>
      <c r="J36" s="115">
        <v>0.2</v>
      </c>
      <c r="K36" s="115">
        <v>0.8</v>
      </c>
      <c r="L36" s="116"/>
      <c r="M36" s="115">
        <v>0.2</v>
      </c>
      <c r="N36" s="115">
        <v>0.8</v>
      </c>
    </row>
    <row r="37" spans="1:14" x14ac:dyDescent="0.35">
      <c r="B37" t="s">
        <v>42</v>
      </c>
      <c r="C37" s="4" t="s">
        <v>19</v>
      </c>
      <c r="D37" s="91">
        <f>95000*'Sensitivity 2'!$D$6</f>
        <v>81700</v>
      </c>
      <c r="E37" s="47">
        <f>+'Project Assumptions'!E$70/200</f>
        <v>8</v>
      </c>
      <c r="F37" s="44">
        <f>+E37*D37</f>
        <v>653600</v>
      </c>
      <c r="G37" s="119"/>
      <c r="H37" s="116"/>
      <c r="I37" s="115"/>
      <c r="J37" s="115">
        <v>0.2</v>
      </c>
      <c r="K37" s="115">
        <v>0.8</v>
      </c>
      <c r="L37" s="116"/>
      <c r="M37" s="115">
        <v>0.2</v>
      </c>
      <c r="N37" s="115">
        <v>0.8</v>
      </c>
    </row>
    <row r="38" spans="1:14" x14ac:dyDescent="0.35">
      <c r="B38" t="s">
        <v>150</v>
      </c>
      <c r="C38" s="4" t="s">
        <v>19</v>
      </c>
      <c r="D38" s="91">
        <f>130000*'Sensitivity 2'!$D$6</f>
        <v>111800</v>
      </c>
      <c r="E38" s="47">
        <f>+'Project Assumptions'!E$70/200</f>
        <v>8</v>
      </c>
      <c r="F38" s="44">
        <f>+E38*D38</f>
        <v>894400</v>
      </c>
      <c r="G38" s="119"/>
      <c r="H38" s="116"/>
      <c r="I38" s="115"/>
      <c r="J38" s="115">
        <v>0.2</v>
      </c>
      <c r="K38" s="115">
        <v>0.8</v>
      </c>
      <c r="L38" s="116"/>
      <c r="M38" s="115">
        <v>0.2</v>
      </c>
      <c r="N38" s="115">
        <v>0.8</v>
      </c>
    </row>
    <row r="39" spans="1:14" x14ac:dyDescent="0.35">
      <c r="B39" t="s">
        <v>43</v>
      </c>
      <c r="C39" s="4" t="s">
        <v>19</v>
      </c>
      <c r="D39" s="91">
        <f>65000*'Sensitivity 2'!$D$6</f>
        <v>55900</v>
      </c>
      <c r="E39" s="47">
        <f>+'Project Assumptions'!E$70/200</f>
        <v>8</v>
      </c>
      <c r="F39" s="44">
        <f>+E39*D39</f>
        <v>447200</v>
      </c>
      <c r="G39" s="119"/>
      <c r="H39" s="116"/>
      <c r="I39" s="115"/>
      <c r="J39" s="115">
        <v>0.2</v>
      </c>
      <c r="K39" s="115">
        <v>0.8</v>
      </c>
      <c r="L39" s="116"/>
      <c r="M39" s="115">
        <v>0.2</v>
      </c>
      <c r="N39" s="115">
        <v>0.8</v>
      </c>
    </row>
    <row r="40" spans="1:14" x14ac:dyDescent="0.35">
      <c r="B40" t="s">
        <v>44</v>
      </c>
      <c r="C40" s="4" t="s">
        <v>19</v>
      </c>
      <c r="D40" s="91">
        <f>420000*'Sensitivity 2'!$D$6</f>
        <v>361200</v>
      </c>
      <c r="E40" s="47">
        <f>+'Project Assumptions'!E$70/200</f>
        <v>8</v>
      </c>
      <c r="F40" s="44">
        <f>+E40*D40</f>
        <v>2889600</v>
      </c>
      <c r="G40" s="119"/>
      <c r="H40" s="116"/>
      <c r="I40" s="115"/>
      <c r="J40" s="115">
        <v>0.2</v>
      </c>
      <c r="K40" s="115">
        <v>0.8</v>
      </c>
      <c r="L40" s="116"/>
      <c r="M40" s="115">
        <v>0.2</v>
      </c>
      <c r="N40" s="115">
        <v>0.8</v>
      </c>
    </row>
    <row r="41" spans="1:14" x14ac:dyDescent="0.35">
      <c r="B41" s="34"/>
      <c r="C41" s="31"/>
      <c r="D41" s="89"/>
      <c r="E41" s="33" t="s">
        <v>45</v>
      </c>
      <c r="F41" s="43">
        <f>SUM(F36:F40)</f>
        <v>6054400</v>
      </c>
      <c r="G41" s="43"/>
      <c r="H41" s="43"/>
      <c r="I41" s="43"/>
      <c r="J41" s="43"/>
      <c r="K41" s="43"/>
      <c r="L41" s="43"/>
      <c r="M41" s="43"/>
      <c r="N41" s="43"/>
    </row>
    <row r="42" spans="1:14" x14ac:dyDescent="0.35">
      <c r="C42" s="4"/>
      <c r="D42" s="66"/>
      <c r="E42" s="9" t="s">
        <v>39</v>
      </c>
      <c r="F42" s="45">
        <f>F41+F34+F27+F13</f>
        <v>30545200</v>
      </c>
    </row>
    <row r="43" spans="1:14" x14ac:dyDescent="0.35">
      <c r="B43" s="3" t="s">
        <v>97</v>
      </c>
      <c r="D43" s="68"/>
      <c r="E43" s="11"/>
      <c r="F43" s="6"/>
    </row>
    <row r="44" spans="1:14" ht="29" x14ac:dyDescent="0.35">
      <c r="B44" s="28" t="s">
        <v>13</v>
      </c>
      <c r="C44" s="28" t="s">
        <v>6</v>
      </c>
      <c r="D44" s="92" t="s">
        <v>95</v>
      </c>
      <c r="E44" s="29" t="s">
        <v>22</v>
      </c>
      <c r="F44" s="29" t="s">
        <v>94</v>
      </c>
      <c r="G44" s="60"/>
      <c r="H44" s="60"/>
      <c r="I44" s="60"/>
      <c r="J44" s="60"/>
      <c r="K44" s="60"/>
      <c r="L44" s="60"/>
      <c r="M44" s="60"/>
      <c r="N44" s="60"/>
    </row>
    <row r="45" spans="1:14" x14ac:dyDescent="0.35">
      <c r="B45" s="27" t="s">
        <v>71</v>
      </c>
      <c r="D45" s="68"/>
      <c r="E45" s="11"/>
      <c r="F45" s="6"/>
    </row>
    <row r="46" spans="1:14" x14ac:dyDescent="0.35">
      <c r="B46" t="s">
        <v>51</v>
      </c>
      <c r="C46" s="10" t="s">
        <v>53</v>
      </c>
      <c r="D46" s="94">
        <v>1090</v>
      </c>
      <c r="E46" s="120">
        <v>6</v>
      </c>
      <c r="F46" s="42">
        <f>+D46*E46*12</f>
        <v>78480</v>
      </c>
      <c r="G46" s="10"/>
    </row>
    <row r="47" spans="1:14" x14ac:dyDescent="0.35">
      <c r="B47" t="s">
        <v>52</v>
      </c>
      <c r="C47" s="10" t="s">
        <v>57</v>
      </c>
      <c r="D47" s="94">
        <v>7500</v>
      </c>
      <c r="E47" s="120">
        <v>1</v>
      </c>
      <c r="F47" s="42">
        <f>+D47*E47</f>
        <v>7500</v>
      </c>
      <c r="G47" s="10"/>
    </row>
    <row r="48" spans="1:14" x14ac:dyDescent="0.35">
      <c r="B48" t="s">
        <v>54</v>
      </c>
      <c r="C48" s="10" t="s">
        <v>57</v>
      </c>
      <c r="D48" s="93">
        <f>+F32*0.05</f>
        <v>1200</v>
      </c>
      <c r="E48" s="120">
        <v>1</v>
      </c>
      <c r="F48" s="42">
        <f>+D48*E48</f>
        <v>1200</v>
      </c>
      <c r="G48" s="10"/>
    </row>
    <row r="49" spans="2:14" x14ac:dyDescent="0.35">
      <c r="B49" t="s">
        <v>55</v>
      </c>
      <c r="C49" s="10" t="s">
        <v>57</v>
      </c>
      <c r="D49" s="93">
        <f>+F27*0.05</f>
        <v>792590</v>
      </c>
      <c r="E49" s="120">
        <v>1</v>
      </c>
      <c r="F49" s="42">
        <f>+D49*E49</f>
        <v>792590</v>
      </c>
      <c r="G49" s="10"/>
    </row>
    <row r="50" spans="2:14" x14ac:dyDescent="0.35">
      <c r="B50" s="34"/>
      <c r="C50" s="31"/>
      <c r="D50" s="89"/>
      <c r="E50" s="33" t="s">
        <v>45</v>
      </c>
      <c r="F50" s="43">
        <f>SUM(F46:F49)</f>
        <v>879770</v>
      </c>
      <c r="G50" s="67"/>
      <c r="H50" s="34"/>
      <c r="I50" s="34"/>
      <c r="J50" s="34"/>
      <c r="K50" s="34"/>
      <c r="L50" s="34"/>
      <c r="M50" s="34"/>
      <c r="N50" s="34"/>
    </row>
    <row r="51" spans="2:14" x14ac:dyDescent="0.35">
      <c r="C51" s="10"/>
      <c r="D51" s="68"/>
      <c r="E51" s="11"/>
      <c r="F51" s="6"/>
    </row>
    <row r="52" spans="2:14" x14ac:dyDescent="0.35">
      <c r="B52" s="27" t="s">
        <v>73</v>
      </c>
      <c r="C52" s="10"/>
      <c r="D52" s="68"/>
      <c r="E52" s="11"/>
      <c r="F52" s="6"/>
    </row>
    <row r="53" spans="2:14" x14ac:dyDescent="0.35">
      <c r="B53" t="s">
        <v>51</v>
      </c>
      <c r="C53" s="25" t="s">
        <v>19</v>
      </c>
      <c r="D53" s="93">
        <v>1090</v>
      </c>
      <c r="E53" s="46">
        <f>+'Project Assumptions'!E70*(2/50)</f>
        <v>64</v>
      </c>
      <c r="F53" s="42">
        <f>+D53*E53*12</f>
        <v>837120</v>
      </c>
      <c r="G53" s="10"/>
    </row>
    <row r="54" spans="2:14" x14ac:dyDescent="0.35">
      <c r="B54" s="15" t="s">
        <v>62</v>
      </c>
      <c r="C54" s="25" t="s">
        <v>58</v>
      </c>
      <c r="D54" s="93">
        <v>125</v>
      </c>
      <c r="E54" s="46">
        <f>+'Project Assumptions'!E70</f>
        <v>1600</v>
      </c>
      <c r="F54" s="42">
        <f>+D54*E54</f>
        <v>200000</v>
      </c>
      <c r="G54" s="10"/>
    </row>
    <row r="55" spans="2:14" x14ac:dyDescent="0.35">
      <c r="B55" s="15" t="s">
        <v>64</v>
      </c>
      <c r="C55" s="25" t="s">
        <v>58</v>
      </c>
      <c r="D55" s="93">
        <f>+F34*0.05/1600</f>
        <v>211.375</v>
      </c>
      <c r="E55" s="46">
        <f>+'Project Assumptions'!E70</f>
        <v>1600</v>
      </c>
      <c r="F55" s="42">
        <f>+D55*E55</f>
        <v>338200</v>
      </c>
      <c r="G55" s="10"/>
    </row>
    <row r="56" spans="2:14" x14ac:dyDescent="0.35">
      <c r="B56" s="8" t="s">
        <v>65</v>
      </c>
      <c r="C56" s="25" t="s">
        <v>58</v>
      </c>
      <c r="D56" s="93">
        <f>+F41*0.05/1600</f>
        <v>189.2</v>
      </c>
      <c r="E56" s="46">
        <f>+'Project Assumptions'!E70</f>
        <v>1600</v>
      </c>
      <c r="F56" s="42">
        <f t="shared" ref="F56:F61" si="5">+D56*E56</f>
        <v>302720</v>
      </c>
      <c r="G56" s="10"/>
    </row>
    <row r="57" spans="2:14" x14ac:dyDescent="0.35">
      <c r="B57" t="s">
        <v>56</v>
      </c>
      <c r="C57" s="25" t="s">
        <v>58</v>
      </c>
      <c r="D57" s="93">
        <v>850</v>
      </c>
      <c r="E57" s="46">
        <f>+'Project Assumptions'!E70</f>
        <v>1600</v>
      </c>
      <c r="F57" s="42">
        <f t="shared" si="5"/>
        <v>1360000</v>
      </c>
      <c r="G57" s="10"/>
    </row>
    <row r="58" spans="2:14" x14ac:dyDescent="0.35">
      <c r="B58" s="15" t="s">
        <v>60</v>
      </c>
      <c r="C58" s="25" t="s">
        <v>58</v>
      </c>
      <c r="D58" s="93">
        <v>110</v>
      </c>
      <c r="E58" s="46">
        <f>+'Project Assumptions'!E70</f>
        <v>1600</v>
      </c>
      <c r="F58" s="42">
        <f t="shared" si="5"/>
        <v>176000</v>
      </c>
      <c r="G58" s="10"/>
    </row>
    <row r="59" spans="2:14" x14ac:dyDescent="0.35">
      <c r="B59" s="15" t="s">
        <v>61</v>
      </c>
      <c r="C59" s="25" t="s">
        <v>58</v>
      </c>
      <c r="D59" s="93">
        <v>47</v>
      </c>
      <c r="E59" s="46">
        <f>+'Project Assumptions'!E70</f>
        <v>1600</v>
      </c>
      <c r="F59" s="42">
        <f t="shared" si="5"/>
        <v>75200</v>
      </c>
      <c r="G59" s="10"/>
    </row>
    <row r="60" spans="2:14" x14ac:dyDescent="0.35">
      <c r="B60" s="15" t="s">
        <v>59</v>
      </c>
      <c r="C60" s="25" t="s">
        <v>58</v>
      </c>
      <c r="D60" s="93">
        <v>650</v>
      </c>
      <c r="E60" s="46">
        <f>+'Project Assumptions'!E70</f>
        <v>1600</v>
      </c>
      <c r="F60" s="42">
        <f t="shared" si="5"/>
        <v>1040000</v>
      </c>
      <c r="G60" s="10"/>
    </row>
    <row r="61" spans="2:14" x14ac:dyDescent="0.35">
      <c r="B61" s="15" t="s">
        <v>63</v>
      </c>
      <c r="C61" s="25" t="s">
        <v>58</v>
      </c>
      <c r="D61" s="93">
        <v>245</v>
      </c>
      <c r="E61" s="46">
        <f>+'Project Assumptions'!E70</f>
        <v>1600</v>
      </c>
      <c r="F61" s="42">
        <f t="shared" si="5"/>
        <v>392000</v>
      </c>
      <c r="G61" s="10"/>
    </row>
    <row r="62" spans="2:14" x14ac:dyDescent="0.35">
      <c r="B62" s="34"/>
      <c r="C62" s="31"/>
      <c r="D62" s="32"/>
      <c r="E62" s="33" t="s">
        <v>45</v>
      </c>
      <c r="F62" s="43">
        <f>SUM(F53:F61)</f>
        <v>4721240</v>
      </c>
      <c r="G62" s="67"/>
      <c r="H62" s="34"/>
      <c r="I62" s="34"/>
      <c r="J62" s="34"/>
      <c r="K62" s="34"/>
      <c r="L62" s="34"/>
      <c r="M62" s="34"/>
      <c r="N62" s="34"/>
    </row>
    <row r="63" spans="2:14" x14ac:dyDescent="0.35">
      <c r="B63" s="34"/>
      <c r="C63" s="31"/>
      <c r="D63" s="32"/>
      <c r="E63" s="33" t="s">
        <v>39</v>
      </c>
      <c r="F63" s="43">
        <f>+F62+F50</f>
        <v>5601010</v>
      </c>
      <c r="G63" s="67"/>
      <c r="H63" s="34"/>
      <c r="I63" s="34"/>
      <c r="J63" s="34"/>
      <c r="K63" s="34"/>
      <c r="L63" s="34"/>
      <c r="M63" s="34"/>
      <c r="N63" s="34"/>
    </row>
    <row r="64" spans="2:14" x14ac:dyDescent="0.35">
      <c r="C64" s="10"/>
      <c r="D64" s="6"/>
      <c r="E64" s="11"/>
      <c r="F64" s="6"/>
    </row>
    <row r="65" spans="2:6" x14ac:dyDescent="0.35">
      <c r="B65" s="3" t="s">
        <v>12</v>
      </c>
      <c r="E65" s="11"/>
      <c r="F65" s="6"/>
    </row>
    <row r="66" spans="2:6" x14ac:dyDescent="0.35">
      <c r="E66" s="11"/>
      <c r="F66" s="6"/>
    </row>
    <row r="67" spans="2:6" x14ac:dyDescent="0.35">
      <c r="B67" s="38" t="s">
        <v>4</v>
      </c>
      <c r="C67" s="38" t="s">
        <v>6</v>
      </c>
      <c r="D67" s="38" t="s">
        <v>5</v>
      </c>
      <c r="E67" s="38" t="s">
        <v>5</v>
      </c>
    </row>
    <row r="68" spans="2:6" x14ac:dyDescent="0.35">
      <c r="B68" s="39" t="s">
        <v>7</v>
      </c>
      <c r="C68" s="34"/>
      <c r="D68" s="39" t="s">
        <v>7</v>
      </c>
      <c r="E68" s="39" t="s">
        <v>8</v>
      </c>
    </row>
    <row r="69" spans="2:6" x14ac:dyDescent="0.35">
      <c r="B69" t="s">
        <v>0</v>
      </c>
      <c r="C69" s="25" t="s">
        <v>9</v>
      </c>
      <c r="D69" s="35">
        <v>35</v>
      </c>
      <c r="E69" s="35">
        <v>50</v>
      </c>
    </row>
    <row r="70" spans="2:6" x14ac:dyDescent="0.35">
      <c r="B70" t="s">
        <v>41</v>
      </c>
      <c r="C70" s="25" t="s">
        <v>41</v>
      </c>
      <c r="D70" s="35">
        <v>550</v>
      </c>
      <c r="E70" s="37">
        <v>1600</v>
      </c>
    </row>
    <row r="71" spans="2:6" x14ac:dyDescent="0.35">
      <c r="B71" t="s">
        <v>112</v>
      </c>
      <c r="C71" s="25" t="s">
        <v>10</v>
      </c>
      <c r="D71" s="36">
        <f>'Sensitivity 2'!$D$12</f>
        <v>200</v>
      </c>
      <c r="E71" s="6">
        <f>'Sensitivity 2'!$D$12</f>
        <v>200</v>
      </c>
    </row>
    <row r="72" spans="2:6" x14ac:dyDescent="0.35">
      <c r="B72" t="s">
        <v>1</v>
      </c>
      <c r="C72" s="25" t="s">
        <v>10</v>
      </c>
      <c r="D72" s="36">
        <v>120</v>
      </c>
    </row>
    <row r="73" spans="2:6" x14ac:dyDescent="0.35">
      <c r="B73" s="39" t="s">
        <v>8</v>
      </c>
      <c r="C73" s="41"/>
      <c r="D73" s="40"/>
      <c r="E73" s="34"/>
    </row>
    <row r="74" spans="2:6" x14ac:dyDescent="0.35">
      <c r="B74" s="121" t="s">
        <v>11</v>
      </c>
      <c r="C74" s="122" t="s">
        <v>47</v>
      </c>
      <c r="D74" s="123">
        <f>+'Project Assumptions'!F42</f>
        <v>30545200</v>
      </c>
    </row>
    <row r="75" spans="2:6" x14ac:dyDescent="0.35">
      <c r="B75" s="121" t="s">
        <v>2</v>
      </c>
      <c r="C75" s="122" t="s">
        <v>48</v>
      </c>
      <c r="D75" s="123">
        <f>+'Project Assumptions'!F34/1600</f>
        <v>4227.5</v>
      </c>
    </row>
    <row r="76" spans="2:6" x14ac:dyDescent="0.35">
      <c r="B76" s="124" t="s">
        <v>3</v>
      </c>
      <c r="C76" s="122" t="s">
        <v>49</v>
      </c>
      <c r="D76" s="123">
        <f>+D74*0.05</f>
        <v>1527260</v>
      </c>
    </row>
    <row r="77" spans="2:6" x14ac:dyDescent="0.35">
      <c r="B77" s="124" t="s">
        <v>46</v>
      </c>
      <c r="C77" s="122" t="s">
        <v>48</v>
      </c>
      <c r="D77" s="123">
        <f>+D75*0.1</f>
        <v>422.75</v>
      </c>
    </row>
    <row r="78" spans="2:6" x14ac:dyDescent="0.35">
      <c r="C78" s="25"/>
      <c r="E78" s="7"/>
    </row>
    <row r="79" spans="2:6" x14ac:dyDescent="0.35">
      <c r="C79" s="25"/>
      <c r="E79" s="7"/>
    </row>
    <row r="80" spans="2:6" x14ac:dyDescent="0.35">
      <c r="C80" s="25"/>
      <c r="E80" s="7"/>
    </row>
    <row r="81" spans="2:5" x14ac:dyDescent="0.35">
      <c r="B81" s="13"/>
      <c r="C81" s="14"/>
      <c r="D81" s="6"/>
      <c r="E81" s="7"/>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FE934-7740-46AA-B015-F170C61A3B74}">
  <dimension ref="B1:AA42"/>
  <sheetViews>
    <sheetView showGridLines="0" zoomScale="80" zoomScaleNormal="80" workbookViewId="0">
      <pane xSplit="2" ySplit="2" topLeftCell="C3" activePane="bottomRight" state="frozen"/>
      <selection pane="topRight" activeCell="C1" sqref="C1"/>
      <selection pane="bottomLeft" activeCell="A3" sqref="A3"/>
      <selection pane="bottomRight" activeCell="B2" sqref="B2"/>
    </sheetView>
  </sheetViews>
  <sheetFormatPr defaultRowHeight="14.5" x14ac:dyDescent="0.35"/>
  <cols>
    <col min="1" max="1" width="4.81640625" customWidth="1"/>
    <col min="2" max="2" width="32.08984375" bestFit="1" customWidth="1"/>
    <col min="3" max="4" width="7.08984375" bestFit="1" customWidth="1"/>
    <col min="5" max="6" width="8" bestFit="1" customWidth="1"/>
    <col min="7" max="26" width="7.08984375" bestFit="1" customWidth="1"/>
  </cols>
  <sheetData>
    <row r="1" spans="2:27" x14ac:dyDescent="0.35">
      <c r="B1" t="s">
        <v>67</v>
      </c>
    </row>
    <row r="2" spans="2:27" s="2" customFormat="1" x14ac:dyDescent="0.35">
      <c r="B2" s="2" t="s">
        <v>66</v>
      </c>
      <c r="C2" s="54">
        <v>0</v>
      </c>
      <c r="D2" s="54">
        <f t="shared" ref="D2:AA2" si="0">C2+1</f>
        <v>1</v>
      </c>
      <c r="E2" s="54">
        <f t="shared" si="0"/>
        <v>2</v>
      </c>
      <c r="F2" s="54">
        <f t="shared" si="0"/>
        <v>3</v>
      </c>
      <c r="G2" s="54">
        <f t="shared" si="0"/>
        <v>4</v>
      </c>
      <c r="H2" s="54">
        <f t="shared" si="0"/>
        <v>5</v>
      </c>
      <c r="I2" s="54">
        <f t="shared" si="0"/>
        <v>6</v>
      </c>
      <c r="J2" s="54">
        <f t="shared" si="0"/>
        <v>7</v>
      </c>
      <c r="K2" s="54">
        <f t="shared" si="0"/>
        <v>8</v>
      </c>
      <c r="L2" s="54">
        <f t="shared" si="0"/>
        <v>9</v>
      </c>
      <c r="M2" s="54">
        <f t="shared" si="0"/>
        <v>10</v>
      </c>
      <c r="N2" s="54">
        <f t="shared" si="0"/>
        <v>11</v>
      </c>
      <c r="O2" s="54">
        <f t="shared" si="0"/>
        <v>12</v>
      </c>
      <c r="P2" s="54">
        <f t="shared" si="0"/>
        <v>13</v>
      </c>
      <c r="Q2" s="54">
        <f t="shared" si="0"/>
        <v>14</v>
      </c>
      <c r="R2" s="54">
        <f t="shared" si="0"/>
        <v>15</v>
      </c>
      <c r="S2" s="54">
        <f t="shared" si="0"/>
        <v>16</v>
      </c>
      <c r="T2" s="54">
        <f t="shared" si="0"/>
        <v>17</v>
      </c>
      <c r="U2" s="54">
        <f t="shared" si="0"/>
        <v>18</v>
      </c>
      <c r="V2" s="54">
        <f t="shared" si="0"/>
        <v>19</v>
      </c>
      <c r="W2" s="54">
        <f t="shared" si="0"/>
        <v>20</v>
      </c>
      <c r="X2" s="54">
        <f t="shared" si="0"/>
        <v>21</v>
      </c>
      <c r="Y2" s="54">
        <f t="shared" si="0"/>
        <v>22</v>
      </c>
      <c r="Z2" s="54">
        <f t="shared" si="0"/>
        <v>23</v>
      </c>
      <c r="AA2" s="54">
        <f t="shared" si="0"/>
        <v>24</v>
      </c>
    </row>
    <row r="3" spans="2:27" x14ac:dyDescent="0.35">
      <c r="B3" s="61" t="s">
        <v>111</v>
      </c>
      <c r="C3" s="78">
        <f t="shared" ref="C3:Z3" si="1">C6+C4</f>
        <v>0</v>
      </c>
      <c r="D3" s="78">
        <f t="shared" si="1"/>
        <v>0</v>
      </c>
      <c r="E3" s="78">
        <f t="shared" si="1"/>
        <v>0</v>
      </c>
      <c r="F3" s="78">
        <f t="shared" si="1"/>
        <v>0</v>
      </c>
      <c r="G3" s="78">
        <f t="shared" si="1"/>
        <v>0</v>
      </c>
      <c r="H3" s="78">
        <f t="shared" si="1"/>
        <v>12150000</v>
      </c>
      <c r="I3" s="78">
        <f t="shared" si="1"/>
        <v>12150000</v>
      </c>
      <c r="J3" s="78">
        <f t="shared" si="1"/>
        <v>12150000</v>
      </c>
      <c r="K3" s="78">
        <f t="shared" si="1"/>
        <v>12150000</v>
      </c>
      <c r="L3" s="78">
        <f t="shared" si="1"/>
        <v>12150000</v>
      </c>
      <c r="M3" s="78">
        <f t="shared" si="1"/>
        <v>12150000</v>
      </c>
      <c r="N3" s="78">
        <f t="shared" si="1"/>
        <v>12150000</v>
      </c>
      <c r="O3" s="78">
        <f t="shared" si="1"/>
        <v>12150000</v>
      </c>
      <c r="P3" s="78">
        <f t="shared" si="1"/>
        <v>14571760</v>
      </c>
      <c r="Q3" s="78">
        <f t="shared" si="1"/>
        <v>12150000</v>
      </c>
      <c r="R3" s="78">
        <f t="shared" si="1"/>
        <v>12150000</v>
      </c>
      <c r="S3" s="78">
        <f t="shared" si="1"/>
        <v>12150000</v>
      </c>
      <c r="T3" s="78">
        <f t="shared" si="1"/>
        <v>12150000</v>
      </c>
      <c r="U3" s="78">
        <f t="shared" si="1"/>
        <v>12150000</v>
      </c>
      <c r="V3" s="78">
        <f t="shared" si="1"/>
        <v>12150000</v>
      </c>
      <c r="W3" s="78">
        <f t="shared" si="1"/>
        <v>12150000</v>
      </c>
      <c r="X3" s="78">
        <f t="shared" si="1"/>
        <v>12150000</v>
      </c>
      <c r="Y3" s="78">
        <f t="shared" si="1"/>
        <v>12150000</v>
      </c>
      <c r="Z3" s="78">
        <f t="shared" si="1"/>
        <v>12150000</v>
      </c>
      <c r="AA3" s="78">
        <f t="shared" ref="AA3" si="2">AA6+AA4</f>
        <v>12150001</v>
      </c>
    </row>
    <row r="4" spans="2:27" x14ac:dyDescent="0.35">
      <c r="B4" s="72" t="s">
        <v>139</v>
      </c>
      <c r="C4" s="102">
        <f>+C5*'Project Assumptions'!$E$71</f>
        <v>0</v>
      </c>
      <c r="D4" s="102">
        <f>+D5*'Project Assumptions'!$E$71</f>
        <v>0</v>
      </c>
      <c r="E4" s="102">
        <f>+E5*'Project Assumptions'!$E$71</f>
        <v>0</v>
      </c>
      <c r="F4" s="102">
        <f>+F5*'Project Assumptions'!$E$71</f>
        <v>0</v>
      </c>
      <c r="G4" s="102">
        <f>+G5*'Project Assumptions'!$E$71</f>
        <v>0</v>
      </c>
      <c r="H4" s="102">
        <f>+H5*'Project Assumptions'!$E$71</f>
        <v>12150000</v>
      </c>
      <c r="I4" s="102">
        <f>+I5*'Project Assumptions'!$E$71</f>
        <v>12150000</v>
      </c>
      <c r="J4" s="102">
        <f>+J5*'Project Assumptions'!$E$71</f>
        <v>12150000</v>
      </c>
      <c r="K4" s="102">
        <f>+K5*'Project Assumptions'!$E$71</f>
        <v>12150000</v>
      </c>
      <c r="L4" s="102">
        <f>+L5*'Project Assumptions'!$E$71</f>
        <v>12150000</v>
      </c>
      <c r="M4" s="102">
        <f>+M5*'Project Assumptions'!$E$71</f>
        <v>12150000</v>
      </c>
      <c r="N4" s="102">
        <f>+N5*'Project Assumptions'!$E$71</f>
        <v>12150000</v>
      </c>
      <c r="O4" s="102">
        <f>+O5*'Project Assumptions'!$E$71</f>
        <v>12150000</v>
      </c>
      <c r="P4" s="102">
        <f>+P5*'Project Assumptions'!$E$71</f>
        <v>12150000</v>
      </c>
      <c r="Q4" s="102">
        <f>+Q5*'Project Assumptions'!$E$71</f>
        <v>12150000</v>
      </c>
      <c r="R4" s="102">
        <f>+R5*'Project Assumptions'!$E$71</f>
        <v>12150000</v>
      </c>
      <c r="S4" s="102">
        <f>+S5*'Project Assumptions'!$E$71</f>
        <v>12150000</v>
      </c>
      <c r="T4" s="102">
        <f>+T5*'Project Assumptions'!$E$71</f>
        <v>12150000</v>
      </c>
      <c r="U4" s="102">
        <f>+U5*'Project Assumptions'!$E$71</f>
        <v>12150000</v>
      </c>
      <c r="V4" s="102">
        <f>+V5*'Project Assumptions'!$E$71</f>
        <v>12150000</v>
      </c>
      <c r="W4" s="102">
        <f>+W5*'Project Assumptions'!$E$71</f>
        <v>12150000</v>
      </c>
      <c r="X4" s="102">
        <f>+X5*'Project Assumptions'!$E$71</f>
        <v>12150000</v>
      </c>
      <c r="Y4" s="102">
        <f>+Y5*'Project Assumptions'!$E$71</f>
        <v>12150000</v>
      </c>
      <c r="Z4" s="102">
        <f>+Z5*'Project Assumptions'!$E$71</f>
        <v>12150000</v>
      </c>
      <c r="AA4" s="102">
        <f>+AA5*'Project Assumptions'!$E$71</f>
        <v>12150000</v>
      </c>
    </row>
    <row r="5" spans="2:27" x14ac:dyDescent="0.35">
      <c r="B5" s="62" t="s">
        <v>113</v>
      </c>
      <c r="C5" s="125">
        <v>0</v>
      </c>
      <c r="D5" s="125">
        <v>0</v>
      </c>
      <c r="E5" s="125">
        <v>0</v>
      </c>
      <c r="F5" s="125">
        <v>0</v>
      </c>
      <c r="G5" s="125">
        <v>0</v>
      </c>
      <c r="H5" s="125">
        <f>+'Project Assumptions'!$E$70*'Project Assumptions'!$E$69-'Project Assumptions'!$D$70*'Project Assumptions'!$D$69</f>
        <v>60750</v>
      </c>
      <c r="I5" s="125">
        <f>+'Project Assumptions'!$E$70*'Project Assumptions'!$E$69-'Project Assumptions'!$D$70*'Project Assumptions'!$D$69</f>
        <v>60750</v>
      </c>
      <c r="J5" s="125">
        <f>+'Project Assumptions'!$E$70*'Project Assumptions'!$E$69-'Project Assumptions'!$D$70*'Project Assumptions'!$D$69</f>
        <v>60750</v>
      </c>
      <c r="K5" s="125">
        <f>+'Project Assumptions'!$E$70*'Project Assumptions'!$E$69-'Project Assumptions'!$D$70*'Project Assumptions'!$D$69</f>
        <v>60750</v>
      </c>
      <c r="L5" s="125">
        <f>+'Project Assumptions'!$E$70*'Project Assumptions'!$E$69-'Project Assumptions'!$D$70*'Project Assumptions'!$D$69</f>
        <v>60750</v>
      </c>
      <c r="M5" s="125">
        <f>+'Project Assumptions'!$E$70*'Project Assumptions'!$E$69-'Project Assumptions'!$D$70*'Project Assumptions'!$D$69</f>
        <v>60750</v>
      </c>
      <c r="N5" s="125">
        <f>+'Project Assumptions'!$E$70*'Project Assumptions'!$E$69-'Project Assumptions'!$D$70*'Project Assumptions'!$D$69</f>
        <v>60750</v>
      </c>
      <c r="O5" s="125">
        <f>+'Project Assumptions'!$E$70*'Project Assumptions'!$E$69-'Project Assumptions'!$D$70*'Project Assumptions'!$D$69</f>
        <v>60750</v>
      </c>
      <c r="P5" s="125">
        <f>+'Project Assumptions'!$E$70*'Project Assumptions'!$E$69-'Project Assumptions'!$D$70*'Project Assumptions'!$D$69</f>
        <v>60750</v>
      </c>
      <c r="Q5" s="125">
        <f>+'Project Assumptions'!$E$70*'Project Assumptions'!$E$69-'Project Assumptions'!$D$70*'Project Assumptions'!$D$69</f>
        <v>60750</v>
      </c>
      <c r="R5" s="125">
        <f>+'Project Assumptions'!$E$70*'Project Assumptions'!$E$69-'Project Assumptions'!$D$70*'Project Assumptions'!$D$69</f>
        <v>60750</v>
      </c>
      <c r="S5" s="125">
        <f>+'Project Assumptions'!$E$70*'Project Assumptions'!$E$69-'Project Assumptions'!$D$70*'Project Assumptions'!$D$69</f>
        <v>60750</v>
      </c>
      <c r="T5" s="125">
        <f>+'Project Assumptions'!$E$70*'Project Assumptions'!$E$69-'Project Assumptions'!$D$70*'Project Assumptions'!$D$69</f>
        <v>60750</v>
      </c>
      <c r="U5" s="125">
        <f>+'Project Assumptions'!$E$70*'Project Assumptions'!$E$69-'Project Assumptions'!$D$70*'Project Assumptions'!$D$69</f>
        <v>60750</v>
      </c>
      <c r="V5" s="125">
        <f>+'Project Assumptions'!$E$70*'Project Assumptions'!$E$69-'Project Assumptions'!$D$70*'Project Assumptions'!$D$69</f>
        <v>60750</v>
      </c>
      <c r="W5" s="125">
        <f>+'Project Assumptions'!$E$70*'Project Assumptions'!$E$69-'Project Assumptions'!$D$70*'Project Assumptions'!$D$69</f>
        <v>60750</v>
      </c>
      <c r="X5" s="125">
        <f>+'Project Assumptions'!$E$70*'Project Assumptions'!$E$69-'Project Assumptions'!$D$70*'Project Assumptions'!$D$69</f>
        <v>60750</v>
      </c>
      <c r="Y5" s="125">
        <f>+'Project Assumptions'!$E$70*'Project Assumptions'!$E$69-'Project Assumptions'!$D$70*'Project Assumptions'!$D$69</f>
        <v>60750</v>
      </c>
      <c r="Z5" s="125">
        <f>+'Project Assumptions'!$E$70*'Project Assumptions'!$E$69-'Project Assumptions'!$D$70*'Project Assumptions'!$D$69</f>
        <v>60750</v>
      </c>
      <c r="AA5" s="125">
        <f>+'Project Assumptions'!$E$70*'Project Assumptions'!$E$69-'Project Assumptions'!$D$70*'Project Assumptions'!$D$69</f>
        <v>60750</v>
      </c>
    </row>
    <row r="6" spans="2:27" x14ac:dyDescent="0.35">
      <c r="B6" s="63" t="s">
        <v>114</v>
      </c>
      <c r="C6" s="80">
        <f t="shared" ref="C6:AA6" si="3">C7</f>
        <v>0</v>
      </c>
      <c r="D6" s="80">
        <f t="shared" si="3"/>
        <v>0</v>
      </c>
      <c r="E6" s="80">
        <f t="shared" si="3"/>
        <v>0</v>
      </c>
      <c r="F6" s="80">
        <f t="shared" si="3"/>
        <v>0</v>
      </c>
      <c r="G6" s="80">
        <f t="shared" si="3"/>
        <v>0</v>
      </c>
      <c r="H6" s="80">
        <f t="shared" si="3"/>
        <v>0</v>
      </c>
      <c r="I6" s="80">
        <f t="shared" si="3"/>
        <v>0</v>
      </c>
      <c r="J6" s="80">
        <f t="shared" si="3"/>
        <v>0</v>
      </c>
      <c r="K6" s="80">
        <f t="shared" si="3"/>
        <v>0</v>
      </c>
      <c r="L6" s="80">
        <f t="shared" si="3"/>
        <v>0</v>
      </c>
      <c r="M6" s="80">
        <f t="shared" si="3"/>
        <v>0</v>
      </c>
      <c r="N6" s="80">
        <f t="shared" si="3"/>
        <v>0</v>
      </c>
      <c r="O6" s="80">
        <f t="shared" si="3"/>
        <v>0</v>
      </c>
      <c r="P6" s="80">
        <f t="shared" si="3"/>
        <v>2421760</v>
      </c>
      <c r="Q6" s="80">
        <f t="shared" si="3"/>
        <v>0</v>
      </c>
      <c r="R6" s="80">
        <f t="shared" si="3"/>
        <v>0</v>
      </c>
      <c r="S6" s="80">
        <f t="shared" si="3"/>
        <v>0</v>
      </c>
      <c r="T6" s="80">
        <f t="shared" si="3"/>
        <v>0</v>
      </c>
      <c r="U6" s="80">
        <f t="shared" si="3"/>
        <v>0</v>
      </c>
      <c r="V6" s="80">
        <f t="shared" si="3"/>
        <v>0</v>
      </c>
      <c r="W6" s="80">
        <f t="shared" si="3"/>
        <v>0</v>
      </c>
      <c r="X6" s="80">
        <f t="shared" si="3"/>
        <v>0</v>
      </c>
      <c r="Y6" s="80">
        <f t="shared" si="3"/>
        <v>0</v>
      </c>
      <c r="Z6" s="80">
        <f t="shared" si="3"/>
        <v>0</v>
      </c>
      <c r="AA6" s="80">
        <f t="shared" si="3"/>
        <v>1</v>
      </c>
    </row>
    <row r="7" spans="2:27" x14ac:dyDescent="0.35">
      <c r="B7" s="64" t="s">
        <v>160</v>
      </c>
      <c r="C7" s="81">
        <v>0</v>
      </c>
      <c r="D7" s="81">
        <v>0</v>
      </c>
      <c r="E7" s="81">
        <v>0</v>
      </c>
      <c r="F7" s="81">
        <v>0</v>
      </c>
      <c r="G7" s="81">
        <v>0</v>
      </c>
      <c r="H7" s="81">
        <v>0</v>
      </c>
      <c r="I7" s="81">
        <v>0</v>
      </c>
      <c r="J7" s="81">
        <v>0</v>
      </c>
      <c r="K7" s="81">
        <v>0</v>
      </c>
      <c r="L7" s="81">
        <v>0</v>
      </c>
      <c r="M7" s="81">
        <v>0</v>
      </c>
      <c r="N7" s="81">
        <v>0</v>
      </c>
      <c r="O7" s="81">
        <v>0</v>
      </c>
      <c r="P7" s="81">
        <f>'Project Assumptions'!F41*0.4</f>
        <v>2421760</v>
      </c>
      <c r="Q7" s="81">
        <v>0</v>
      </c>
      <c r="R7" s="81">
        <v>0</v>
      </c>
      <c r="S7" s="81">
        <v>0</v>
      </c>
      <c r="T7" s="81">
        <v>0</v>
      </c>
      <c r="U7" s="81">
        <v>0</v>
      </c>
      <c r="V7" s="81">
        <v>0</v>
      </c>
      <c r="W7" s="81">
        <v>0</v>
      </c>
      <c r="X7" s="81">
        <v>0</v>
      </c>
      <c r="Y7" s="81">
        <v>0</v>
      </c>
      <c r="Z7" s="81">
        <v>0</v>
      </c>
      <c r="AA7" s="81">
        <v>1</v>
      </c>
    </row>
    <row r="8" spans="2:27" x14ac:dyDescent="0.35">
      <c r="B8" s="61" t="s">
        <v>109</v>
      </c>
      <c r="C8" s="82">
        <f>C9+C12</f>
        <v>0</v>
      </c>
      <c r="D8" s="82">
        <f t="shared" ref="D8:Z8" si="4">D9+D12</f>
        <v>0</v>
      </c>
      <c r="E8" s="82">
        <f t="shared" si="4"/>
        <v>0</v>
      </c>
      <c r="F8" s="82">
        <f t="shared" si="4"/>
        <v>0</v>
      </c>
      <c r="G8" s="82">
        <f t="shared" si="4"/>
        <v>0</v>
      </c>
      <c r="H8" s="82">
        <f t="shared" si="4"/>
        <v>5601010</v>
      </c>
      <c r="I8" s="82">
        <f t="shared" si="4"/>
        <v>5601010</v>
      </c>
      <c r="J8" s="82">
        <f t="shared" si="4"/>
        <v>5601010</v>
      </c>
      <c r="K8" s="82">
        <f t="shared" si="4"/>
        <v>5601010</v>
      </c>
      <c r="L8" s="82">
        <f t="shared" si="4"/>
        <v>5601010</v>
      </c>
      <c r="M8" s="82">
        <f t="shared" si="4"/>
        <v>5601010</v>
      </c>
      <c r="N8" s="82">
        <f t="shared" si="4"/>
        <v>5601010</v>
      </c>
      <c r="O8" s="82">
        <f t="shared" si="4"/>
        <v>5601010</v>
      </c>
      <c r="P8" s="82">
        <f t="shared" si="4"/>
        <v>5601010</v>
      </c>
      <c r="Q8" s="82">
        <f t="shared" si="4"/>
        <v>5601010</v>
      </c>
      <c r="R8" s="82">
        <f t="shared" si="4"/>
        <v>5601010</v>
      </c>
      <c r="S8" s="82">
        <f t="shared" si="4"/>
        <v>5601010</v>
      </c>
      <c r="T8" s="82">
        <f t="shared" si="4"/>
        <v>5601010</v>
      </c>
      <c r="U8" s="82">
        <f t="shared" si="4"/>
        <v>5601010</v>
      </c>
      <c r="V8" s="82">
        <f t="shared" si="4"/>
        <v>5601010</v>
      </c>
      <c r="W8" s="82">
        <f t="shared" si="4"/>
        <v>5601010</v>
      </c>
      <c r="X8" s="82">
        <f t="shared" si="4"/>
        <v>5601010</v>
      </c>
      <c r="Y8" s="82">
        <f t="shared" si="4"/>
        <v>5601010</v>
      </c>
      <c r="Z8" s="82">
        <f t="shared" si="4"/>
        <v>5601010</v>
      </c>
      <c r="AA8" s="82">
        <f t="shared" ref="AA8" si="5">AA9+AA12</f>
        <v>5601010</v>
      </c>
    </row>
    <row r="9" spans="2:27" x14ac:dyDescent="0.35">
      <c r="B9" s="63" t="s">
        <v>108</v>
      </c>
      <c r="C9" s="80">
        <f t="shared" ref="C9" si="6">SUM(C10:C11)</f>
        <v>0</v>
      </c>
      <c r="D9" s="80">
        <f t="shared" ref="D9" si="7">SUM(D10:D11)</f>
        <v>0</v>
      </c>
      <c r="E9" s="80">
        <f t="shared" ref="E9" si="8">SUM(E10:E11)</f>
        <v>0</v>
      </c>
      <c r="F9" s="80">
        <f t="shared" ref="F9" si="9">SUM(F10:F11)</f>
        <v>0</v>
      </c>
      <c r="G9" s="80">
        <f t="shared" ref="G9" si="10">SUM(G10:G11)</f>
        <v>0</v>
      </c>
      <c r="H9" s="80">
        <f t="shared" ref="H9" si="11">SUM(H10:H11)</f>
        <v>3144500</v>
      </c>
      <c r="I9" s="80">
        <f t="shared" ref="I9" si="12">SUM(I10:I11)</f>
        <v>3144500</v>
      </c>
      <c r="J9" s="80">
        <f t="shared" ref="J9" si="13">SUM(J10:J11)</f>
        <v>3144500</v>
      </c>
      <c r="K9" s="80">
        <f t="shared" ref="K9" si="14">SUM(K10:K11)</f>
        <v>3144500</v>
      </c>
      <c r="L9" s="80">
        <f t="shared" ref="L9" si="15">SUM(L10:L11)</f>
        <v>3144500</v>
      </c>
      <c r="M9" s="80">
        <f t="shared" ref="M9" si="16">SUM(M10:M11)</f>
        <v>3144500</v>
      </c>
      <c r="N9" s="80">
        <f t="shared" ref="N9" si="17">SUM(N10:N11)</f>
        <v>3144500</v>
      </c>
      <c r="O9" s="80">
        <f t="shared" ref="O9" si="18">SUM(O10:O11)</f>
        <v>3144500</v>
      </c>
      <c r="P9" s="80">
        <f t="shared" ref="P9" si="19">SUM(P10:P11)</f>
        <v>3144500</v>
      </c>
      <c r="Q9" s="80">
        <f t="shared" ref="Q9" si="20">SUM(Q10:Q11)</f>
        <v>3144500</v>
      </c>
      <c r="R9" s="80">
        <f t="shared" ref="R9" si="21">SUM(R10:R11)</f>
        <v>3144500</v>
      </c>
      <c r="S9" s="80">
        <f t="shared" ref="S9" si="22">SUM(S10:S11)</f>
        <v>3144500</v>
      </c>
      <c r="T9" s="80">
        <f t="shared" ref="T9" si="23">SUM(T10:T11)</f>
        <v>3144500</v>
      </c>
      <c r="U9" s="80">
        <f t="shared" ref="U9" si="24">SUM(U10:U11)</f>
        <v>3144500</v>
      </c>
      <c r="V9" s="80">
        <f t="shared" ref="V9" si="25">SUM(V10:V11)</f>
        <v>3144500</v>
      </c>
      <c r="W9" s="80">
        <f t="shared" ref="W9" si="26">SUM(W10:W11)</f>
        <v>3144500</v>
      </c>
      <c r="X9" s="80">
        <f t="shared" ref="X9" si="27">SUM(X10:X11)</f>
        <v>3144500</v>
      </c>
      <c r="Y9" s="80">
        <f t="shared" ref="Y9" si="28">SUM(Y10:Y11)</f>
        <v>3144500</v>
      </c>
      <c r="Z9" s="80">
        <f t="shared" ref="Z9:AA9" si="29">SUM(Z10:Z11)</f>
        <v>3144500</v>
      </c>
      <c r="AA9" s="80">
        <f t="shared" si="29"/>
        <v>3144500</v>
      </c>
    </row>
    <row r="10" spans="2:27" x14ac:dyDescent="0.35">
      <c r="B10" s="62" t="s">
        <v>105</v>
      </c>
      <c r="C10" s="79">
        <v>0</v>
      </c>
      <c r="D10" s="79">
        <v>0</v>
      </c>
      <c r="E10" s="79">
        <v>0</v>
      </c>
      <c r="F10" s="79">
        <v>0</v>
      </c>
      <c r="G10" s="79">
        <v>0</v>
      </c>
      <c r="H10" s="79">
        <f>'Project Assumptions'!F46+'Project Assumptions'!F47</f>
        <v>85980</v>
      </c>
      <c r="I10" s="79">
        <f t="shared" ref="I10:AA10" si="30">H10</f>
        <v>85980</v>
      </c>
      <c r="J10" s="79">
        <f t="shared" si="30"/>
        <v>85980</v>
      </c>
      <c r="K10" s="79">
        <f t="shared" si="30"/>
        <v>85980</v>
      </c>
      <c r="L10" s="79">
        <f t="shared" si="30"/>
        <v>85980</v>
      </c>
      <c r="M10" s="79">
        <f t="shared" si="30"/>
        <v>85980</v>
      </c>
      <c r="N10" s="79">
        <f t="shared" si="30"/>
        <v>85980</v>
      </c>
      <c r="O10" s="79">
        <f t="shared" si="30"/>
        <v>85980</v>
      </c>
      <c r="P10" s="79">
        <f t="shared" si="30"/>
        <v>85980</v>
      </c>
      <c r="Q10" s="79">
        <f t="shared" si="30"/>
        <v>85980</v>
      </c>
      <c r="R10" s="79">
        <f t="shared" si="30"/>
        <v>85980</v>
      </c>
      <c r="S10" s="79">
        <f t="shared" si="30"/>
        <v>85980</v>
      </c>
      <c r="T10" s="79">
        <f t="shared" si="30"/>
        <v>85980</v>
      </c>
      <c r="U10" s="79">
        <f t="shared" si="30"/>
        <v>85980</v>
      </c>
      <c r="V10" s="79">
        <f t="shared" si="30"/>
        <v>85980</v>
      </c>
      <c r="W10" s="79">
        <f t="shared" si="30"/>
        <v>85980</v>
      </c>
      <c r="X10" s="79">
        <f t="shared" si="30"/>
        <v>85980</v>
      </c>
      <c r="Y10" s="79">
        <f t="shared" si="30"/>
        <v>85980</v>
      </c>
      <c r="Z10" s="79">
        <f t="shared" si="30"/>
        <v>85980</v>
      </c>
      <c r="AA10" s="79">
        <f t="shared" si="30"/>
        <v>85980</v>
      </c>
    </row>
    <row r="11" spans="2:27" x14ac:dyDescent="0.35">
      <c r="B11" s="62" t="s">
        <v>104</v>
      </c>
      <c r="C11" s="79">
        <v>0</v>
      </c>
      <c r="D11" s="79">
        <v>0</v>
      </c>
      <c r="E11" s="79">
        <v>0</v>
      </c>
      <c r="F11" s="79">
        <v>0</v>
      </c>
      <c r="G11" s="79">
        <v>0</v>
      </c>
      <c r="H11" s="79">
        <f>'Project Assumptions'!F53+'Project Assumptions'!F54+'Project Assumptions'!F55+'Project Assumptions'!F58+'Project Assumptions'!F59+'Project Assumptions'!F60+'Project Assumptions'!F61</f>
        <v>3058520</v>
      </c>
      <c r="I11" s="79">
        <f t="shared" ref="I11:AA11" si="31">H11</f>
        <v>3058520</v>
      </c>
      <c r="J11" s="79">
        <f t="shared" si="31"/>
        <v>3058520</v>
      </c>
      <c r="K11" s="79">
        <f t="shared" si="31"/>
        <v>3058520</v>
      </c>
      <c r="L11" s="79">
        <f t="shared" si="31"/>
        <v>3058520</v>
      </c>
      <c r="M11" s="79">
        <f t="shared" si="31"/>
        <v>3058520</v>
      </c>
      <c r="N11" s="79">
        <f t="shared" si="31"/>
        <v>3058520</v>
      </c>
      <c r="O11" s="79">
        <f t="shared" si="31"/>
        <v>3058520</v>
      </c>
      <c r="P11" s="79">
        <f t="shared" si="31"/>
        <v>3058520</v>
      </c>
      <c r="Q11" s="79">
        <f t="shared" si="31"/>
        <v>3058520</v>
      </c>
      <c r="R11" s="79">
        <f t="shared" si="31"/>
        <v>3058520</v>
      </c>
      <c r="S11" s="79">
        <f t="shared" si="31"/>
        <v>3058520</v>
      </c>
      <c r="T11" s="79">
        <f t="shared" si="31"/>
        <v>3058520</v>
      </c>
      <c r="U11" s="79">
        <f t="shared" si="31"/>
        <v>3058520</v>
      </c>
      <c r="V11" s="79">
        <f t="shared" si="31"/>
        <v>3058520</v>
      </c>
      <c r="W11" s="79">
        <f t="shared" si="31"/>
        <v>3058520</v>
      </c>
      <c r="X11" s="79">
        <f t="shared" si="31"/>
        <v>3058520</v>
      </c>
      <c r="Y11" s="79">
        <f t="shared" si="31"/>
        <v>3058520</v>
      </c>
      <c r="Z11" s="79">
        <f t="shared" si="31"/>
        <v>3058520</v>
      </c>
      <c r="AA11" s="79">
        <f t="shared" si="31"/>
        <v>3058520</v>
      </c>
    </row>
    <row r="12" spans="2:27" x14ac:dyDescent="0.35">
      <c r="B12" s="63" t="s">
        <v>110</v>
      </c>
      <c r="C12" s="80">
        <f t="shared" ref="C12:Z12" si="32">SUM(C13:C14)</f>
        <v>0</v>
      </c>
      <c r="D12" s="80">
        <f t="shared" si="32"/>
        <v>0</v>
      </c>
      <c r="E12" s="80">
        <f t="shared" si="32"/>
        <v>0</v>
      </c>
      <c r="F12" s="80">
        <f t="shared" si="32"/>
        <v>0</v>
      </c>
      <c r="G12" s="80">
        <f t="shared" si="32"/>
        <v>0</v>
      </c>
      <c r="H12" s="80">
        <f t="shared" si="32"/>
        <v>2456510</v>
      </c>
      <c r="I12" s="80">
        <f t="shared" si="32"/>
        <v>2456510</v>
      </c>
      <c r="J12" s="80">
        <f t="shared" si="32"/>
        <v>2456510</v>
      </c>
      <c r="K12" s="80">
        <f t="shared" si="32"/>
        <v>2456510</v>
      </c>
      <c r="L12" s="80">
        <f t="shared" si="32"/>
        <v>2456510</v>
      </c>
      <c r="M12" s="80">
        <f t="shared" si="32"/>
        <v>2456510</v>
      </c>
      <c r="N12" s="80">
        <f t="shared" si="32"/>
        <v>2456510</v>
      </c>
      <c r="O12" s="80">
        <f t="shared" si="32"/>
        <v>2456510</v>
      </c>
      <c r="P12" s="80">
        <f t="shared" si="32"/>
        <v>2456510</v>
      </c>
      <c r="Q12" s="80">
        <f t="shared" si="32"/>
        <v>2456510</v>
      </c>
      <c r="R12" s="80">
        <f t="shared" si="32"/>
        <v>2456510</v>
      </c>
      <c r="S12" s="80">
        <f t="shared" si="32"/>
        <v>2456510</v>
      </c>
      <c r="T12" s="80">
        <f t="shared" si="32"/>
        <v>2456510</v>
      </c>
      <c r="U12" s="80">
        <f t="shared" si="32"/>
        <v>2456510</v>
      </c>
      <c r="V12" s="80">
        <f t="shared" si="32"/>
        <v>2456510</v>
      </c>
      <c r="W12" s="80">
        <f t="shared" si="32"/>
        <v>2456510</v>
      </c>
      <c r="X12" s="80">
        <f t="shared" si="32"/>
        <v>2456510</v>
      </c>
      <c r="Y12" s="80">
        <f t="shared" si="32"/>
        <v>2456510</v>
      </c>
      <c r="Z12" s="80">
        <f t="shared" si="32"/>
        <v>2456510</v>
      </c>
      <c r="AA12" s="80">
        <f t="shared" ref="AA12" si="33">SUM(AA13:AA14)</f>
        <v>2456510</v>
      </c>
    </row>
    <row r="13" spans="2:27" x14ac:dyDescent="0.35">
      <c r="B13" s="62" t="s">
        <v>105</v>
      </c>
      <c r="C13" s="79">
        <v>0</v>
      </c>
      <c r="D13" s="79">
        <v>0</v>
      </c>
      <c r="E13" s="79">
        <v>0</v>
      </c>
      <c r="F13" s="79">
        <v>0</v>
      </c>
      <c r="G13" s="79">
        <v>0</v>
      </c>
      <c r="H13" s="79">
        <f>'Project Assumptions'!F48+'Project Assumptions'!F49</f>
        <v>793790</v>
      </c>
      <c r="I13" s="79">
        <f t="shared" ref="I13:AA13" si="34">H13</f>
        <v>793790</v>
      </c>
      <c r="J13" s="79">
        <f t="shared" si="34"/>
        <v>793790</v>
      </c>
      <c r="K13" s="79">
        <f t="shared" si="34"/>
        <v>793790</v>
      </c>
      <c r="L13" s="79">
        <f t="shared" si="34"/>
        <v>793790</v>
      </c>
      <c r="M13" s="79">
        <f t="shared" si="34"/>
        <v>793790</v>
      </c>
      <c r="N13" s="79">
        <f t="shared" si="34"/>
        <v>793790</v>
      </c>
      <c r="O13" s="79">
        <f t="shared" si="34"/>
        <v>793790</v>
      </c>
      <c r="P13" s="79">
        <f t="shared" si="34"/>
        <v>793790</v>
      </c>
      <c r="Q13" s="79">
        <f t="shared" si="34"/>
        <v>793790</v>
      </c>
      <c r="R13" s="79">
        <f t="shared" si="34"/>
        <v>793790</v>
      </c>
      <c r="S13" s="79">
        <f t="shared" si="34"/>
        <v>793790</v>
      </c>
      <c r="T13" s="79">
        <f t="shared" si="34"/>
        <v>793790</v>
      </c>
      <c r="U13" s="79">
        <f t="shared" si="34"/>
        <v>793790</v>
      </c>
      <c r="V13" s="79">
        <f t="shared" si="34"/>
        <v>793790</v>
      </c>
      <c r="W13" s="79">
        <f t="shared" si="34"/>
        <v>793790</v>
      </c>
      <c r="X13" s="79">
        <f t="shared" si="34"/>
        <v>793790</v>
      </c>
      <c r="Y13" s="79">
        <f t="shared" si="34"/>
        <v>793790</v>
      </c>
      <c r="Z13" s="79">
        <f t="shared" si="34"/>
        <v>793790</v>
      </c>
      <c r="AA13" s="79">
        <f t="shared" si="34"/>
        <v>793790</v>
      </c>
    </row>
    <row r="14" spans="2:27" x14ac:dyDescent="0.35">
      <c r="B14" s="64" t="s">
        <v>104</v>
      </c>
      <c r="C14" s="81">
        <v>0</v>
      </c>
      <c r="D14" s="81">
        <v>0</v>
      </c>
      <c r="E14" s="81">
        <v>0</v>
      </c>
      <c r="F14" s="81">
        <v>0</v>
      </c>
      <c r="G14" s="81">
        <v>0</v>
      </c>
      <c r="H14" s="81">
        <f>'Project Assumptions'!F56+'Project Assumptions'!F57</f>
        <v>1662720</v>
      </c>
      <c r="I14" s="81">
        <f t="shared" ref="I14:AA14" si="35">H14</f>
        <v>1662720</v>
      </c>
      <c r="J14" s="81">
        <f t="shared" si="35"/>
        <v>1662720</v>
      </c>
      <c r="K14" s="81">
        <f t="shared" si="35"/>
        <v>1662720</v>
      </c>
      <c r="L14" s="81">
        <f t="shared" si="35"/>
        <v>1662720</v>
      </c>
      <c r="M14" s="81">
        <f t="shared" si="35"/>
        <v>1662720</v>
      </c>
      <c r="N14" s="81">
        <f t="shared" si="35"/>
        <v>1662720</v>
      </c>
      <c r="O14" s="81">
        <f t="shared" si="35"/>
        <v>1662720</v>
      </c>
      <c r="P14" s="81">
        <f t="shared" si="35"/>
        <v>1662720</v>
      </c>
      <c r="Q14" s="81">
        <f t="shared" si="35"/>
        <v>1662720</v>
      </c>
      <c r="R14" s="81">
        <f t="shared" si="35"/>
        <v>1662720</v>
      </c>
      <c r="S14" s="81">
        <f t="shared" si="35"/>
        <v>1662720</v>
      </c>
      <c r="T14" s="81">
        <f t="shared" si="35"/>
        <v>1662720</v>
      </c>
      <c r="U14" s="81">
        <f t="shared" si="35"/>
        <v>1662720</v>
      </c>
      <c r="V14" s="81">
        <f t="shared" si="35"/>
        <v>1662720</v>
      </c>
      <c r="W14" s="81">
        <f t="shared" si="35"/>
        <v>1662720</v>
      </c>
      <c r="X14" s="81">
        <f t="shared" si="35"/>
        <v>1662720</v>
      </c>
      <c r="Y14" s="81">
        <f t="shared" si="35"/>
        <v>1662720</v>
      </c>
      <c r="Z14" s="81">
        <f t="shared" si="35"/>
        <v>1662720</v>
      </c>
      <c r="AA14" s="81">
        <f t="shared" si="35"/>
        <v>1662720</v>
      </c>
    </row>
    <row r="15" spans="2:27" x14ac:dyDescent="0.35">
      <c r="B15" s="61" t="s">
        <v>107</v>
      </c>
      <c r="C15" s="78">
        <f t="shared" ref="C15:F15" si="36">C16+C17+C20</f>
        <v>1875000</v>
      </c>
      <c r="D15" s="78">
        <f t="shared" si="36"/>
        <v>2435000</v>
      </c>
      <c r="E15" s="78">
        <f t="shared" si="36"/>
        <v>6912500</v>
      </c>
      <c r="F15" s="78">
        <f t="shared" si="36"/>
        <v>9341480</v>
      </c>
      <c r="G15" s="78">
        <f t="shared" ref="G15" si="37">G16+G17+G20</f>
        <v>9981220</v>
      </c>
      <c r="H15" s="78">
        <f t="shared" ref="H15" si="38">H16+H17+H20</f>
        <v>0</v>
      </c>
      <c r="I15" s="78">
        <f t="shared" ref="I15" si="39">I16+I17+I20</f>
        <v>0</v>
      </c>
      <c r="J15" s="78">
        <f t="shared" ref="J15" si="40">J16+J17+J20</f>
        <v>0</v>
      </c>
      <c r="K15" s="78">
        <f t="shared" ref="K15" si="41">K16+K17+K20</f>
        <v>0</v>
      </c>
      <c r="L15" s="78">
        <f t="shared" ref="L15" si="42">L16+L17+L20</f>
        <v>0</v>
      </c>
      <c r="M15" s="78">
        <f t="shared" ref="M15" si="43">M16+M17+M20</f>
        <v>0</v>
      </c>
      <c r="N15" s="78">
        <f t="shared" ref="N15" si="44">N16+N17+N20</f>
        <v>0</v>
      </c>
      <c r="O15" s="78">
        <f t="shared" ref="O15" si="45">O16+O17+O20</f>
        <v>0</v>
      </c>
      <c r="P15" s="78">
        <f t="shared" ref="P15" si="46">P16+P17+P20</f>
        <v>1210880</v>
      </c>
      <c r="Q15" s="78">
        <f t="shared" ref="Q15" si="47">Q16+Q17+Q20</f>
        <v>4843520</v>
      </c>
      <c r="R15" s="78">
        <f t="shared" ref="R15" si="48">R16+R17+R20</f>
        <v>0</v>
      </c>
      <c r="S15" s="78">
        <f t="shared" ref="S15" si="49">S16+S17+S20</f>
        <v>0</v>
      </c>
      <c r="T15" s="78">
        <f t="shared" ref="T15" si="50">T16+T17+T20</f>
        <v>0</v>
      </c>
      <c r="U15" s="78">
        <f t="shared" ref="U15" si="51">U16+U17+U20</f>
        <v>0</v>
      </c>
      <c r="V15" s="78">
        <f t="shared" ref="V15" si="52">V16+V17+V20</f>
        <v>0</v>
      </c>
      <c r="W15" s="78">
        <f t="shared" ref="W15" si="53">W16+W17+W20</f>
        <v>0</v>
      </c>
      <c r="X15" s="78">
        <f t="shared" ref="X15" si="54">X16+X17+X20</f>
        <v>0</v>
      </c>
      <c r="Y15" s="78">
        <f t="shared" ref="Y15" si="55">Y16+Y17+Y20</f>
        <v>0</v>
      </c>
      <c r="Z15" s="78">
        <f t="shared" ref="Z15:AA15" si="56">Z16+Z17+Z20</f>
        <v>0</v>
      </c>
      <c r="AA15" s="78">
        <f t="shared" si="56"/>
        <v>0</v>
      </c>
    </row>
    <row r="16" spans="2:27" x14ac:dyDescent="0.35">
      <c r="B16" s="65" t="s">
        <v>100</v>
      </c>
      <c r="C16" s="80">
        <f>SUMPRODUCT('Project Assumptions'!$F$9:$F$12,'Project Assumptions'!G9:G12)</f>
        <v>1875000</v>
      </c>
      <c r="D16" s="80">
        <f>SUMPRODUCT('Project Assumptions'!$F$9:$F$12,'Project Assumptions'!H9:H12)</f>
        <v>0</v>
      </c>
      <c r="E16" s="80">
        <f>SUMPRODUCT('Project Assumptions'!$F$9:$F$12,'Project Assumptions'!I9:I12)</f>
        <v>0</v>
      </c>
      <c r="F16" s="80">
        <f>SUMPRODUCT('Project Assumptions'!$F$9:$F$12,'Project Assumptions'!J9:J12)</f>
        <v>0</v>
      </c>
      <c r="G16" s="80">
        <f>SUMPRODUCT('Project Assumptions'!$F$9:$F$12,'Project Assumptions'!K9:K12)</f>
        <v>0</v>
      </c>
      <c r="H16" s="80">
        <f>SUMPRODUCT('Project Assumptions'!$F$9:$F$12,'Project Assumptions'!L9:L12)</f>
        <v>0</v>
      </c>
      <c r="I16" s="80">
        <f>SUMPRODUCT('Project Assumptions'!$F$9:$F$12,'Project Assumptions'!M9:M12)</f>
        <v>0</v>
      </c>
      <c r="J16" s="80">
        <f>SUMPRODUCT('Project Assumptions'!$F$9:$F$12,'Project Assumptions'!N9:N12)</f>
        <v>0</v>
      </c>
      <c r="K16" s="80">
        <f>SUMPRODUCT('Project Assumptions'!$F$9:$F$12,'Project Assumptions'!O9:O12)</f>
        <v>0</v>
      </c>
      <c r="L16" s="80">
        <f>SUMPRODUCT('Project Assumptions'!$F$9:$F$12,'Project Assumptions'!P9:P12)</f>
        <v>0</v>
      </c>
      <c r="M16" s="80">
        <f>SUMPRODUCT('Project Assumptions'!$F$9:$F$12,'Project Assumptions'!Q9:Q12)</f>
        <v>0</v>
      </c>
      <c r="N16" s="80">
        <f>SUMPRODUCT('Project Assumptions'!$F$9:$F$12,'Project Assumptions'!R9:R12)</f>
        <v>0</v>
      </c>
      <c r="O16" s="80">
        <f>SUMPRODUCT('Project Assumptions'!$F$9:$F$12,'Project Assumptions'!S9:S12)</f>
        <v>0</v>
      </c>
      <c r="P16" s="80">
        <f>SUMPRODUCT('Project Assumptions'!$F$9:$F$12,'Project Assumptions'!T9:T12)</f>
        <v>0</v>
      </c>
      <c r="Q16" s="80">
        <f>SUMPRODUCT('Project Assumptions'!$F$9:$F$12,'Project Assumptions'!U9:U12)</f>
        <v>0</v>
      </c>
      <c r="R16" s="80">
        <f>SUMPRODUCT('Project Assumptions'!$F$9:$F$12,'Project Assumptions'!V9:V12)</f>
        <v>0</v>
      </c>
      <c r="S16" s="80">
        <f>SUMPRODUCT('Project Assumptions'!$F$9:$F$12,'Project Assumptions'!W9:W12)</f>
        <v>0</v>
      </c>
      <c r="T16" s="80">
        <f>SUMPRODUCT('Project Assumptions'!$F$9:$F$12,'Project Assumptions'!X9:X12)</f>
        <v>0</v>
      </c>
      <c r="U16" s="80">
        <f>SUMPRODUCT('Project Assumptions'!$F$9:$F$12,'Project Assumptions'!Y9:Y12)</f>
        <v>0</v>
      </c>
      <c r="V16" s="80">
        <f>SUMPRODUCT('Project Assumptions'!$F$9:$F$12,'Project Assumptions'!Z9:Z12)</f>
        <v>0</v>
      </c>
      <c r="W16" s="80">
        <f>SUMPRODUCT('Project Assumptions'!$F$9:$F$12,'Project Assumptions'!AA9:AA12)</f>
        <v>0</v>
      </c>
      <c r="X16" s="80">
        <f>SUMPRODUCT('Project Assumptions'!$F$9:$F$12,'Project Assumptions'!AB9:AB12)</f>
        <v>0</v>
      </c>
      <c r="Y16" s="80">
        <f>SUMPRODUCT('Project Assumptions'!$F$9:$F$12,'Project Assumptions'!AC9:AC12)</f>
        <v>0</v>
      </c>
      <c r="Z16" s="80">
        <f>SUMPRODUCT('Project Assumptions'!$F$9:$F$12,'Project Assumptions'!AD9:AD12)</f>
        <v>0</v>
      </c>
      <c r="AA16" s="80">
        <f>SUMPRODUCT('Project Assumptions'!$F$9:$F$12,'Project Assumptions'!AE9:AE12)</f>
        <v>0</v>
      </c>
    </row>
    <row r="17" spans="2:27" x14ac:dyDescent="0.35">
      <c r="B17" s="65" t="s">
        <v>103</v>
      </c>
      <c r="C17" s="80">
        <f t="shared" ref="C17:F17" si="57">SUM(C18:C19)</f>
        <v>0</v>
      </c>
      <c r="D17" s="80">
        <f t="shared" si="57"/>
        <v>2435000</v>
      </c>
      <c r="E17" s="80">
        <f t="shared" si="57"/>
        <v>6912500</v>
      </c>
      <c r="F17" s="80">
        <f t="shared" si="57"/>
        <v>8130600</v>
      </c>
      <c r="G17" s="80">
        <f t="shared" ref="G17" si="58">SUM(G18:G19)</f>
        <v>5137700</v>
      </c>
      <c r="H17" s="80">
        <f t="shared" ref="H17" si="59">SUM(H18:H19)</f>
        <v>0</v>
      </c>
      <c r="I17" s="80">
        <f t="shared" ref="I17" si="60">SUM(I18:I19)</f>
        <v>0</v>
      </c>
      <c r="J17" s="80">
        <f t="shared" ref="J17" si="61">SUM(J18:J19)</f>
        <v>0</v>
      </c>
      <c r="K17" s="80">
        <f t="shared" ref="K17" si="62">SUM(K18:K19)</f>
        <v>0</v>
      </c>
      <c r="L17" s="80">
        <f t="shared" ref="L17" si="63">SUM(L18:L19)</f>
        <v>0</v>
      </c>
      <c r="M17" s="80">
        <f t="shared" ref="M17" si="64">SUM(M18:M19)</f>
        <v>0</v>
      </c>
      <c r="N17" s="80">
        <f t="shared" ref="N17" si="65">SUM(N18:N19)</f>
        <v>0</v>
      </c>
      <c r="O17" s="80">
        <f t="shared" ref="O17" si="66">SUM(O18:O19)</f>
        <v>0</v>
      </c>
      <c r="P17" s="80">
        <f t="shared" ref="P17" si="67">SUM(P18:P19)</f>
        <v>0</v>
      </c>
      <c r="Q17" s="80">
        <f t="shared" ref="Q17" si="68">SUM(Q18:Q19)</f>
        <v>0</v>
      </c>
      <c r="R17" s="80">
        <f t="shared" ref="R17" si="69">SUM(R18:R19)</f>
        <v>0</v>
      </c>
      <c r="S17" s="80">
        <f t="shared" ref="S17" si="70">SUM(S18:S19)</f>
        <v>0</v>
      </c>
      <c r="T17" s="80">
        <f t="shared" ref="T17" si="71">SUM(T18:T19)</f>
        <v>0</v>
      </c>
      <c r="U17" s="80">
        <f t="shared" ref="U17" si="72">SUM(U18:U19)</f>
        <v>0</v>
      </c>
      <c r="V17" s="80">
        <f t="shared" ref="V17" si="73">SUM(V18:V19)</f>
        <v>0</v>
      </c>
      <c r="W17" s="80">
        <f t="shared" ref="W17" si="74">SUM(W18:W19)</f>
        <v>0</v>
      </c>
      <c r="X17" s="80">
        <f t="shared" ref="X17" si="75">SUM(X18:X19)</f>
        <v>0</v>
      </c>
      <c r="Y17" s="80">
        <f t="shared" ref="Y17" si="76">SUM(Y18:Y19)</f>
        <v>0</v>
      </c>
      <c r="Z17" s="80">
        <f t="shared" ref="Z17:AA17" si="77">SUM(Z18:Z19)</f>
        <v>0</v>
      </c>
      <c r="AA17" s="80">
        <f t="shared" si="77"/>
        <v>0</v>
      </c>
    </row>
    <row r="18" spans="2:27" x14ac:dyDescent="0.35">
      <c r="B18" s="62" t="s">
        <v>105</v>
      </c>
      <c r="C18" s="79">
        <f>SUMPRODUCT('Project Assumptions'!$F$15:$F$26,'Project Assumptions'!G15:G26)</f>
        <v>0</v>
      </c>
      <c r="D18" s="79">
        <f>SUMPRODUCT('Project Assumptions'!$F$15:$F$26,'Project Assumptions'!H15:H26)</f>
        <v>2435000</v>
      </c>
      <c r="E18" s="79">
        <f>SUMPRODUCT('Project Assumptions'!$F$15:$F$26,'Project Assumptions'!I15:I26)</f>
        <v>4292500</v>
      </c>
      <c r="F18" s="79">
        <f>SUMPRODUCT('Project Assumptions'!$F$15:$F$26,'Project Assumptions'!J15:J26)</f>
        <v>5420600</v>
      </c>
      <c r="G18" s="79">
        <f>SUMPRODUCT('Project Assumptions'!$F$15:$F$26,'Project Assumptions'!K15:K26)</f>
        <v>3703700</v>
      </c>
      <c r="H18" s="79">
        <f>SUMPRODUCT('Project Assumptions'!$F$15:$F$26,'Project Assumptions'!L15:L26)</f>
        <v>0</v>
      </c>
      <c r="I18" s="79">
        <f>SUMPRODUCT('Project Assumptions'!$F$15:$F$26,'Project Assumptions'!M15:M26)</f>
        <v>0</v>
      </c>
      <c r="J18" s="79">
        <f>SUMPRODUCT('Project Assumptions'!$F$15:$F$26,'Project Assumptions'!N15:N26)</f>
        <v>0</v>
      </c>
      <c r="K18" s="79">
        <f>SUMPRODUCT('Project Assumptions'!$F$15:$F$26,'Project Assumptions'!O15:O26)</f>
        <v>0</v>
      </c>
      <c r="L18" s="79">
        <f>SUMPRODUCT('Project Assumptions'!$F$15:$F$26,'Project Assumptions'!P15:P26)</f>
        <v>0</v>
      </c>
      <c r="M18" s="79">
        <f>SUMPRODUCT('Project Assumptions'!$F$15:$F$26,'Project Assumptions'!Q15:Q26)</f>
        <v>0</v>
      </c>
      <c r="N18" s="79">
        <f>SUMPRODUCT('Project Assumptions'!$F$15:$F$26,'Project Assumptions'!R15:R26)</f>
        <v>0</v>
      </c>
      <c r="O18" s="79">
        <f>SUMPRODUCT('Project Assumptions'!$F$15:$F$26,'Project Assumptions'!S15:S26)</f>
        <v>0</v>
      </c>
      <c r="P18" s="79">
        <f>SUMPRODUCT('Project Assumptions'!$F$15:$F$26,'Project Assumptions'!T15:T26)</f>
        <v>0</v>
      </c>
      <c r="Q18" s="79">
        <f>SUMPRODUCT('Project Assumptions'!$F$15:$F$26,'Project Assumptions'!U15:U26)</f>
        <v>0</v>
      </c>
      <c r="R18" s="79">
        <f>SUMPRODUCT('Project Assumptions'!$F$15:$F$26,'Project Assumptions'!V15:V26)</f>
        <v>0</v>
      </c>
      <c r="S18" s="79">
        <f>SUMPRODUCT('Project Assumptions'!$F$15:$F$26,'Project Assumptions'!W15:W26)</f>
        <v>0</v>
      </c>
      <c r="T18" s="79">
        <f>SUMPRODUCT('Project Assumptions'!$F$15:$F$26,'Project Assumptions'!X15:X26)</f>
        <v>0</v>
      </c>
      <c r="U18" s="79">
        <f>SUMPRODUCT('Project Assumptions'!$F$15:$F$26,'Project Assumptions'!Y15:Y26)</f>
        <v>0</v>
      </c>
      <c r="V18" s="79">
        <f>SUMPRODUCT('Project Assumptions'!$F$15:$F$26,'Project Assumptions'!Z15:Z26)</f>
        <v>0</v>
      </c>
      <c r="W18" s="79">
        <f>SUMPRODUCT('Project Assumptions'!$F$15:$F$26,'Project Assumptions'!AA15:AA26)</f>
        <v>0</v>
      </c>
      <c r="X18" s="79">
        <f>SUMPRODUCT('Project Assumptions'!$F$15:$F$26,'Project Assumptions'!AB15:AB26)</f>
        <v>0</v>
      </c>
      <c r="Y18" s="79">
        <f>SUMPRODUCT('Project Assumptions'!$F$15:$F$26,'Project Assumptions'!AC15:AC26)</f>
        <v>0</v>
      </c>
      <c r="Z18" s="79">
        <f>SUMPRODUCT('Project Assumptions'!$F$15:$F$26,'Project Assumptions'!AD15:AD26)</f>
        <v>0</v>
      </c>
      <c r="AA18" s="79">
        <f>SUMPRODUCT('Project Assumptions'!$F$15:$F$26,'Project Assumptions'!AE15:AE26)</f>
        <v>0</v>
      </c>
    </row>
    <row r="19" spans="2:27" x14ac:dyDescent="0.35">
      <c r="B19" s="62" t="s">
        <v>104</v>
      </c>
      <c r="C19" s="79">
        <f>SUMPRODUCT('Project Assumptions'!$F$29:$F$33,'Project Assumptions'!G29:G33)</f>
        <v>0</v>
      </c>
      <c r="D19" s="79">
        <f>SUMPRODUCT('Project Assumptions'!$F$29:$F$33,'Project Assumptions'!H29:H33)</f>
        <v>0</v>
      </c>
      <c r="E19" s="79">
        <f>SUMPRODUCT('Project Assumptions'!$F$29:$F$33,'Project Assumptions'!I29:I33)</f>
        <v>2620000</v>
      </c>
      <c r="F19" s="79">
        <f>SUMPRODUCT('Project Assumptions'!$F$29:$F$33,'Project Assumptions'!J29:J33)</f>
        <v>2710000</v>
      </c>
      <c r="G19" s="79">
        <f>SUMPRODUCT('Project Assumptions'!$F$29:$F$33,'Project Assumptions'!K29:K33)</f>
        <v>1434000</v>
      </c>
      <c r="H19" s="79">
        <f>SUMPRODUCT('Project Assumptions'!$F$29:$F$33,'Project Assumptions'!L29:L33)</f>
        <v>0</v>
      </c>
      <c r="I19" s="79">
        <f>SUMPRODUCT('Project Assumptions'!$F$29:$F$33,'Project Assumptions'!M29:M33)</f>
        <v>0</v>
      </c>
      <c r="J19" s="79">
        <f>SUMPRODUCT('Project Assumptions'!$F$29:$F$33,'Project Assumptions'!N29:N33)</f>
        <v>0</v>
      </c>
      <c r="K19" s="79">
        <f>SUMPRODUCT('Project Assumptions'!$F$29:$F$33,'Project Assumptions'!O29:O33)</f>
        <v>0</v>
      </c>
      <c r="L19" s="79">
        <f>SUMPRODUCT('Project Assumptions'!$F$29:$F$33,'Project Assumptions'!P29:P33)</f>
        <v>0</v>
      </c>
      <c r="M19" s="79">
        <f>SUMPRODUCT('Project Assumptions'!$F$29:$F$33,'Project Assumptions'!Q29:Q33)</f>
        <v>0</v>
      </c>
      <c r="N19" s="79">
        <f>SUMPRODUCT('Project Assumptions'!$F$29:$F$33,'Project Assumptions'!R29:R33)</f>
        <v>0</v>
      </c>
      <c r="O19" s="79">
        <f>SUMPRODUCT('Project Assumptions'!$F$29:$F$33,'Project Assumptions'!S29:S33)</f>
        <v>0</v>
      </c>
      <c r="P19" s="79">
        <f>SUMPRODUCT('Project Assumptions'!$F$29:$F$33,'Project Assumptions'!T29:T33)</f>
        <v>0</v>
      </c>
      <c r="Q19" s="79">
        <f>SUMPRODUCT('Project Assumptions'!$F$29:$F$33,'Project Assumptions'!U29:U33)</f>
        <v>0</v>
      </c>
      <c r="R19" s="79">
        <f>SUMPRODUCT('Project Assumptions'!$F$29:$F$33,'Project Assumptions'!V29:V33)</f>
        <v>0</v>
      </c>
      <c r="S19" s="79">
        <f>SUMPRODUCT('Project Assumptions'!$F$29:$F$33,'Project Assumptions'!W29:W33)</f>
        <v>0</v>
      </c>
      <c r="T19" s="79">
        <f>SUMPRODUCT('Project Assumptions'!$F$29:$F$33,'Project Assumptions'!X29:X33)</f>
        <v>0</v>
      </c>
      <c r="U19" s="79">
        <f>SUMPRODUCT('Project Assumptions'!$F$29:$F$33,'Project Assumptions'!Y29:Y33)</f>
        <v>0</v>
      </c>
      <c r="V19" s="79">
        <f>SUMPRODUCT('Project Assumptions'!$F$29:$F$33,'Project Assumptions'!Z29:Z33)</f>
        <v>0</v>
      </c>
      <c r="W19" s="79">
        <f>SUMPRODUCT('Project Assumptions'!$F$29:$F$33,'Project Assumptions'!AA29:AA33)</f>
        <v>0</v>
      </c>
      <c r="X19" s="79">
        <f>SUMPRODUCT('Project Assumptions'!$F$29:$F$33,'Project Assumptions'!AB29:AB33)</f>
        <v>0</v>
      </c>
      <c r="Y19" s="79">
        <f>SUMPRODUCT('Project Assumptions'!$F$29:$F$33,'Project Assumptions'!AC29:AC33)</f>
        <v>0</v>
      </c>
      <c r="Z19" s="79">
        <f>SUMPRODUCT('Project Assumptions'!$F$29:$F$33,'Project Assumptions'!AD29:AD33)</f>
        <v>0</v>
      </c>
      <c r="AA19" s="79">
        <f>SUMPRODUCT('Project Assumptions'!$F$29:$F$33,'Project Assumptions'!AE29:AE33)</f>
        <v>0</v>
      </c>
    </row>
    <row r="20" spans="2:27" x14ac:dyDescent="0.35">
      <c r="B20" s="65" t="s">
        <v>106</v>
      </c>
      <c r="C20" s="80">
        <f t="shared" ref="C20" si="78">SUM(C21:C22)</f>
        <v>0</v>
      </c>
      <c r="D20" s="80">
        <f t="shared" ref="D20" si="79">SUM(D21:D22)</f>
        <v>0</v>
      </c>
      <c r="E20" s="80">
        <f t="shared" ref="E20" si="80">SUM(E21:E22)</f>
        <v>0</v>
      </c>
      <c r="F20" s="80">
        <f t="shared" ref="F20" si="81">SUM(F21:F22)</f>
        <v>1210880</v>
      </c>
      <c r="G20" s="80">
        <f t="shared" ref="G20" si="82">SUM(G21:G22)</f>
        <v>4843520</v>
      </c>
      <c r="H20" s="80">
        <f t="shared" ref="H20" si="83">SUM(H21:H22)</f>
        <v>0</v>
      </c>
      <c r="I20" s="80">
        <f t="shared" ref="I20" si="84">SUM(I21:I22)</f>
        <v>0</v>
      </c>
      <c r="J20" s="80">
        <f t="shared" ref="J20" si="85">SUM(J21:J22)</f>
        <v>0</v>
      </c>
      <c r="K20" s="80">
        <f t="shared" ref="K20" si="86">SUM(K21:K22)</f>
        <v>0</v>
      </c>
      <c r="L20" s="80">
        <f t="shared" ref="L20" si="87">SUM(L21:L22)</f>
        <v>0</v>
      </c>
      <c r="M20" s="80">
        <f t="shared" ref="M20" si="88">SUM(M21:M22)</f>
        <v>0</v>
      </c>
      <c r="N20" s="80">
        <f t="shared" ref="N20" si="89">SUM(N21:N22)</f>
        <v>0</v>
      </c>
      <c r="O20" s="80">
        <f t="shared" ref="O20" si="90">SUM(O21:O22)</f>
        <v>0</v>
      </c>
      <c r="P20" s="80">
        <f t="shared" ref="P20" si="91">SUM(P21:P22)</f>
        <v>1210880</v>
      </c>
      <c r="Q20" s="80">
        <f t="shared" ref="Q20" si="92">SUM(Q21:Q22)</f>
        <v>4843520</v>
      </c>
      <c r="R20" s="80">
        <f t="shared" ref="R20" si="93">SUM(R21:R22)</f>
        <v>0</v>
      </c>
      <c r="S20" s="80">
        <f t="shared" ref="S20" si="94">SUM(S21:S22)</f>
        <v>0</v>
      </c>
      <c r="T20" s="80">
        <f t="shared" ref="T20" si="95">SUM(T21:T22)</f>
        <v>0</v>
      </c>
      <c r="U20" s="80">
        <f t="shared" ref="U20" si="96">SUM(U21:U22)</f>
        <v>0</v>
      </c>
      <c r="V20" s="80">
        <f t="shared" ref="V20" si="97">SUM(V21:V22)</f>
        <v>0</v>
      </c>
      <c r="W20" s="80">
        <f t="shared" ref="W20" si="98">SUM(W21:W22)</f>
        <v>0</v>
      </c>
      <c r="X20" s="80">
        <f t="shared" ref="X20" si="99">SUM(X21:X22)</f>
        <v>0</v>
      </c>
      <c r="Y20" s="80">
        <f t="shared" ref="Y20" si="100">SUM(Y21:Y22)</f>
        <v>0</v>
      </c>
      <c r="Z20" s="80">
        <f t="shared" ref="Z20:AA20" si="101">SUM(Z21:Z22)</f>
        <v>0</v>
      </c>
      <c r="AA20" s="80">
        <f t="shared" si="101"/>
        <v>0</v>
      </c>
    </row>
    <row r="21" spans="2:27" x14ac:dyDescent="0.35">
      <c r="B21" s="62" t="s">
        <v>105</v>
      </c>
      <c r="C21" s="79">
        <f>SUMPRODUCT('Project Assumptions'!$F$36:$F$40,'Project Assumptions'!G36:G40)*'Sensitivity 2'!$D$13</f>
        <v>0</v>
      </c>
      <c r="D21" s="79">
        <f>SUMPRODUCT('Project Assumptions'!$F$36:$F$40,'Project Assumptions'!H36:H40)*'Sensitivity 2'!$D$13</f>
        <v>0</v>
      </c>
      <c r="E21" s="79">
        <f>SUMPRODUCT('Project Assumptions'!$F$36:$F$40,'Project Assumptions'!I36:I40)*'Sensitivity 2'!$D$13</f>
        <v>0</v>
      </c>
      <c r="F21" s="79">
        <f>SUMPRODUCT('Project Assumptions'!$F$36:$F$40,'Project Assumptions'!J36:J40)*'Sensitivity 2'!$D$13</f>
        <v>605440</v>
      </c>
      <c r="G21" s="79">
        <f>SUMPRODUCT('Project Assumptions'!$F$36:$F$40,'Project Assumptions'!K36:K40)*'Sensitivity 2'!$D$13</f>
        <v>2421760</v>
      </c>
      <c r="H21" s="79">
        <f>SUMPRODUCT('Project Assumptions'!$F$36:$F$40,'Project Assumptions'!L36:L40)*'Sensitivity 2'!$D$13</f>
        <v>0</v>
      </c>
      <c r="I21" s="79">
        <v>0</v>
      </c>
      <c r="J21" s="79">
        <v>0</v>
      </c>
      <c r="K21" s="79">
        <v>0</v>
      </c>
      <c r="L21" s="79">
        <v>0</v>
      </c>
      <c r="M21" s="79">
        <v>0</v>
      </c>
      <c r="N21" s="79">
        <v>0</v>
      </c>
      <c r="O21" s="79">
        <v>0</v>
      </c>
      <c r="P21" s="79">
        <f>SUMPRODUCT('Project Assumptions'!$F$36:$F$40,'Project Assumptions'!M36:M40)*'Sensitivity 2'!$D$13</f>
        <v>605440</v>
      </c>
      <c r="Q21" s="79">
        <f>SUMPRODUCT('Project Assumptions'!$F$36:$F$40,'Project Assumptions'!N36:N40)*'Sensitivity 2'!$D$13</f>
        <v>2421760</v>
      </c>
      <c r="R21" s="79">
        <v>0</v>
      </c>
      <c r="S21" s="79">
        <v>0</v>
      </c>
      <c r="T21" s="79">
        <v>0</v>
      </c>
      <c r="U21" s="79">
        <v>0</v>
      </c>
      <c r="V21" s="79">
        <v>0</v>
      </c>
      <c r="W21" s="79">
        <v>0</v>
      </c>
      <c r="X21" s="79">
        <v>0</v>
      </c>
      <c r="Y21" s="79">
        <v>0</v>
      </c>
      <c r="Z21" s="79">
        <v>0</v>
      </c>
      <c r="AA21" s="79">
        <v>0</v>
      </c>
    </row>
    <row r="22" spans="2:27" x14ac:dyDescent="0.35">
      <c r="B22" s="64" t="s">
        <v>104</v>
      </c>
      <c r="C22" s="81">
        <f>SUMPRODUCT('Project Assumptions'!$F$36:$F$40,'Project Assumptions'!G36:G40)*(1-'Sensitivity 2'!$D$13)</f>
        <v>0</v>
      </c>
      <c r="D22" s="81">
        <f>SUMPRODUCT('Project Assumptions'!$F$36:$F$40,'Project Assumptions'!H36:H40)*(1-'Sensitivity 2'!$D$13)</f>
        <v>0</v>
      </c>
      <c r="E22" s="81">
        <f>SUMPRODUCT('Project Assumptions'!$F$36:$F$40,'Project Assumptions'!I36:I40)*(1-'Sensitivity 2'!$D$13)</f>
        <v>0</v>
      </c>
      <c r="F22" s="81">
        <f>SUMPRODUCT('Project Assumptions'!$F$36:$F$40,'Project Assumptions'!J36:J40)*(1-'Sensitivity 2'!$D$13)</f>
        <v>605440</v>
      </c>
      <c r="G22" s="81">
        <f>SUMPRODUCT('Project Assumptions'!$F$36:$F$40,'Project Assumptions'!K36:K40)*(1-'Sensitivity 2'!$D$13)</f>
        <v>2421760</v>
      </c>
      <c r="H22" s="81">
        <f>SUMPRODUCT('Project Assumptions'!$F$36:$F$40,'Project Assumptions'!L36:L40)*(1-'Sensitivity 2'!$D$13)</f>
        <v>0</v>
      </c>
      <c r="I22" s="81">
        <v>0</v>
      </c>
      <c r="J22" s="81">
        <v>0</v>
      </c>
      <c r="K22" s="81">
        <v>0</v>
      </c>
      <c r="L22" s="81">
        <v>0</v>
      </c>
      <c r="M22" s="81">
        <v>0</v>
      </c>
      <c r="N22" s="81">
        <v>0</v>
      </c>
      <c r="O22" s="81">
        <v>0</v>
      </c>
      <c r="P22" s="81">
        <f>SUMPRODUCT('Project Assumptions'!$F$36:$F$40,'Project Assumptions'!M36:M40)*(1-'Sensitivity 2'!$D$13)</f>
        <v>605440</v>
      </c>
      <c r="Q22" s="81">
        <f>SUMPRODUCT('Project Assumptions'!$F$36:$F$40,'Project Assumptions'!N36:N40)*(1-'Sensitivity 2'!$D$13)</f>
        <v>2421760</v>
      </c>
      <c r="R22" s="81">
        <v>0</v>
      </c>
      <c r="S22" s="81">
        <v>0</v>
      </c>
      <c r="T22" s="81">
        <v>0</v>
      </c>
      <c r="U22" s="81">
        <v>0</v>
      </c>
      <c r="V22" s="81">
        <v>0</v>
      </c>
      <c r="W22" s="81">
        <v>0</v>
      </c>
      <c r="X22" s="81">
        <v>0</v>
      </c>
      <c r="Y22" s="81">
        <v>0</v>
      </c>
      <c r="Z22" s="81">
        <v>0</v>
      </c>
      <c r="AA22" s="81">
        <v>0</v>
      </c>
    </row>
    <row r="23" spans="2:27" x14ac:dyDescent="0.35">
      <c r="B23" s="3" t="s">
        <v>115</v>
      </c>
      <c r="C23" s="83">
        <f t="shared" ref="C23:V23" si="102">C3-C8-C15</f>
        <v>-1875000</v>
      </c>
      <c r="D23" s="83">
        <f t="shared" si="102"/>
        <v>-2435000</v>
      </c>
      <c r="E23" s="83">
        <f t="shared" si="102"/>
        <v>-6912500</v>
      </c>
      <c r="F23" s="83">
        <f t="shared" si="102"/>
        <v>-9341480</v>
      </c>
      <c r="G23" s="83">
        <f t="shared" si="102"/>
        <v>-9981220</v>
      </c>
      <c r="H23" s="83">
        <f t="shared" si="102"/>
        <v>6548990</v>
      </c>
      <c r="I23" s="83">
        <f t="shared" si="102"/>
        <v>6548990</v>
      </c>
      <c r="J23" s="83">
        <f t="shared" si="102"/>
        <v>6548990</v>
      </c>
      <c r="K23" s="83">
        <f t="shared" si="102"/>
        <v>6548990</v>
      </c>
      <c r="L23" s="83">
        <f t="shared" si="102"/>
        <v>6548990</v>
      </c>
      <c r="M23" s="83">
        <f t="shared" si="102"/>
        <v>6548990</v>
      </c>
      <c r="N23" s="83">
        <f t="shared" si="102"/>
        <v>6548990</v>
      </c>
      <c r="O23" s="83">
        <f t="shared" si="102"/>
        <v>6548990</v>
      </c>
      <c r="P23" s="83">
        <f t="shared" si="102"/>
        <v>7759870</v>
      </c>
      <c r="Q23" s="83">
        <f t="shared" si="102"/>
        <v>1705470</v>
      </c>
      <c r="R23" s="83">
        <f t="shared" si="102"/>
        <v>6548990</v>
      </c>
      <c r="S23" s="83">
        <f t="shared" si="102"/>
        <v>6548990</v>
      </c>
      <c r="T23" s="83">
        <f t="shared" si="102"/>
        <v>6548990</v>
      </c>
      <c r="U23" s="83">
        <f t="shared" si="102"/>
        <v>6548990</v>
      </c>
      <c r="V23" s="83">
        <f t="shared" si="102"/>
        <v>6548990</v>
      </c>
      <c r="W23" s="83">
        <f t="shared" ref="W23:Z23" si="103">W3-W8-W15</f>
        <v>6548990</v>
      </c>
      <c r="X23" s="83">
        <f t="shared" si="103"/>
        <v>6548990</v>
      </c>
      <c r="Y23" s="83">
        <f t="shared" si="103"/>
        <v>6548990</v>
      </c>
      <c r="Z23" s="83">
        <f t="shared" si="103"/>
        <v>6548990</v>
      </c>
      <c r="AA23" s="83">
        <f t="shared" ref="AA23" si="104">AA3-AA8-AA15</f>
        <v>6548991</v>
      </c>
    </row>
    <row r="24" spans="2:27" x14ac:dyDescent="0.35">
      <c r="B24" s="3" t="s">
        <v>116</v>
      </c>
      <c r="C24" s="83">
        <f>C3-C11-C14-C19-C22</f>
        <v>0</v>
      </c>
      <c r="D24" s="83">
        <f t="shared" ref="D24:F24" si="105">D3-D11-D14-D19-D22</f>
        <v>0</v>
      </c>
      <c r="E24" s="83">
        <f t="shared" si="105"/>
        <v>-2620000</v>
      </c>
      <c r="F24" s="83">
        <f t="shared" si="105"/>
        <v>-3315440</v>
      </c>
      <c r="G24" s="83">
        <f t="shared" ref="G24:Z24" si="106">G3-G11-G14-G19-G22</f>
        <v>-3855760</v>
      </c>
      <c r="H24" s="83">
        <f t="shared" si="106"/>
        <v>7428760</v>
      </c>
      <c r="I24" s="83">
        <f t="shared" si="106"/>
        <v>7428760</v>
      </c>
      <c r="J24" s="83">
        <f t="shared" si="106"/>
        <v>7428760</v>
      </c>
      <c r="K24" s="83">
        <f t="shared" si="106"/>
        <v>7428760</v>
      </c>
      <c r="L24" s="83">
        <f t="shared" si="106"/>
        <v>7428760</v>
      </c>
      <c r="M24" s="83">
        <f t="shared" si="106"/>
        <v>7428760</v>
      </c>
      <c r="N24" s="83">
        <f t="shared" si="106"/>
        <v>7428760</v>
      </c>
      <c r="O24" s="83">
        <f t="shared" si="106"/>
        <v>7428760</v>
      </c>
      <c r="P24" s="83">
        <f t="shared" si="106"/>
        <v>9245080</v>
      </c>
      <c r="Q24" s="83">
        <f t="shared" si="106"/>
        <v>5007000</v>
      </c>
      <c r="R24" s="83">
        <f t="shared" si="106"/>
        <v>7428760</v>
      </c>
      <c r="S24" s="83">
        <f t="shared" si="106"/>
        <v>7428760</v>
      </c>
      <c r="T24" s="83">
        <f t="shared" si="106"/>
        <v>7428760</v>
      </c>
      <c r="U24" s="83">
        <f t="shared" si="106"/>
        <v>7428760</v>
      </c>
      <c r="V24" s="83">
        <f t="shared" si="106"/>
        <v>7428760</v>
      </c>
      <c r="W24" s="83">
        <f t="shared" si="106"/>
        <v>7428760</v>
      </c>
      <c r="X24" s="83">
        <f t="shared" si="106"/>
        <v>7428760</v>
      </c>
      <c r="Y24" s="83">
        <f t="shared" si="106"/>
        <v>7428760</v>
      </c>
      <c r="Z24" s="83">
        <f t="shared" si="106"/>
        <v>7428760</v>
      </c>
      <c r="AA24" s="83">
        <f t="shared" ref="AA24" si="107">AA3-AA11-AA14-AA19-AA22</f>
        <v>7428761</v>
      </c>
    </row>
    <row r="25" spans="2:27" x14ac:dyDescent="0.35">
      <c r="B25" s="71" t="s">
        <v>117</v>
      </c>
      <c r="C25" s="84">
        <f t="shared" ref="C25:Z25" si="108">-C10-C13-C16-C18-C21</f>
        <v>-1875000</v>
      </c>
      <c r="D25" s="84">
        <f t="shared" si="108"/>
        <v>-2435000</v>
      </c>
      <c r="E25" s="84">
        <f t="shared" si="108"/>
        <v>-4292500</v>
      </c>
      <c r="F25" s="84">
        <f t="shared" si="108"/>
        <v>-6026040</v>
      </c>
      <c r="G25" s="84">
        <f t="shared" si="108"/>
        <v>-6125460</v>
      </c>
      <c r="H25" s="84">
        <f t="shared" si="108"/>
        <v>-879770</v>
      </c>
      <c r="I25" s="84">
        <f t="shared" si="108"/>
        <v>-879770</v>
      </c>
      <c r="J25" s="84">
        <f t="shared" si="108"/>
        <v>-879770</v>
      </c>
      <c r="K25" s="84">
        <f t="shared" si="108"/>
        <v>-879770</v>
      </c>
      <c r="L25" s="84">
        <f t="shared" si="108"/>
        <v>-879770</v>
      </c>
      <c r="M25" s="84">
        <f t="shared" si="108"/>
        <v>-879770</v>
      </c>
      <c r="N25" s="84">
        <f t="shared" si="108"/>
        <v>-879770</v>
      </c>
      <c r="O25" s="84">
        <f t="shared" si="108"/>
        <v>-879770</v>
      </c>
      <c r="P25" s="84">
        <f t="shared" si="108"/>
        <v>-1485210</v>
      </c>
      <c r="Q25" s="84">
        <f t="shared" si="108"/>
        <v>-3301530</v>
      </c>
      <c r="R25" s="84">
        <f t="shared" si="108"/>
        <v>-879770</v>
      </c>
      <c r="S25" s="84">
        <f t="shared" si="108"/>
        <v>-879770</v>
      </c>
      <c r="T25" s="84">
        <f t="shared" si="108"/>
        <v>-879770</v>
      </c>
      <c r="U25" s="84">
        <f t="shared" si="108"/>
        <v>-879770</v>
      </c>
      <c r="V25" s="84">
        <f t="shared" si="108"/>
        <v>-879770</v>
      </c>
      <c r="W25" s="84">
        <f t="shared" si="108"/>
        <v>-879770</v>
      </c>
      <c r="X25" s="84">
        <f t="shared" si="108"/>
        <v>-879770</v>
      </c>
      <c r="Y25" s="84">
        <f t="shared" si="108"/>
        <v>-879770</v>
      </c>
      <c r="Z25" s="84">
        <f t="shared" si="108"/>
        <v>-879770</v>
      </c>
      <c r="AA25" s="84">
        <f t="shared" ref="AA25" si="109">-AA10-AA13-AA16-AA18-AA21</f>
        <v>-879770</v>
      </c>
    </row>
    <row r="26" spans="2:27" x14ac:dyDescent="0.35">
      <c r="B26" s="3"/>
      <c r="C26" s="85"/>
      <c r="D26" s="85"/>
      <c r="E26" s="85"/>
      <c r="F26" s="85"/>
      <c r="G26" s="85"/>
      <c r="H26" s="85"/>
      <c r="I26" s="85"/>
      <c r="J26" s="85"/>
      <c r="K26" s="85"/>
      <c r="L26" s="85"/>
      <c r="M26" s="85"/>
      <c r="N26" s="85"/>
      <c r="O26" s="85"/>
      <c r="P26" s="85"/>
      <c r="Q26" s="85"/>
      <c r="R26" s="85"/>
      <c r="S26" s="85"/>
      <c r="T26" s="85"/>
      <c r="U26" s="85"/>
      <c r="V26" s="85"/>
      <c r="W26" s="85"/>
      <c r="X26" s="85"/>
      <c r="Y26" s="85"/>
      <c r="Z26" s="85"/>
      <c r="AA26" s="85"/>
    </row>
    <row r="27" spans="2:27" x14ac:dyDescent="0.35">
      <c r="B27" s="73" t="s">
        <v>120</v>
      </c>
      <c r="C27" s="82">
        <f t="shared" ref="C27:Z27" si="110">C3-C11-C14</f>
        <v>0</v>
      </c>
      <c r="D27" s="82">
        <f t="shared" si="110"/>
        <v>0</v>
      </c>
      <c r="E27" s="82">
        <f t="shared" si="110"/>
        <v>0</v>
      </c>
      <c r="F27" s="82">
        <f t="shared" si="110"/>
        <v>0</v>
      </c>
      <c r="G27" s="82">
        <f>G3-G11-G14</f>
        <v>0</v>
      </c>
      <c r="H27" s="82">
        <f t="shared" si="110"/>
        <v>7428760</v>
      </c>
      <c r="I27" s="82">
        <f t="shared" si="110"/>
        <v>7428760</v>
      </c>
      <c r="J27" s="82">
        <f t="shared" si="110"/>
        <v>7428760</v>
      </c>
      <c r="K27" s="82">
        <f t="shared" si="110"/>
        <v>7428760</v>
      </c>
      <c r="L27" s="82">
        <f t="shared" si="110"/>
        <v>7428760</v>
      </c>
      <c r="M27" s="82">
        <f t="shared" si="110"/>
        <v>7428760</v>
      </c>
      <c r="N27" s="82">
        <f t="shared" si="110"/>
        <v>7428760</v>
      </c>
      <c r="O27" s="82">
        <f t="shared" si="110"/>
        <v>7428760</v>
      </c>
      <c r="P27" s="82">
        <f t="shared" si="110"/>
        <v>9850520</v>
      </c>
      <c r="Q27" s="82">
        <f t="shared" si="110"/>
        <v>7428760</v>
      </c>
      <c r="R27" s="82">
        <f t="shared" si="110"/>
        <v>7428760</v>
      </c>
      <c r="S27" s="82">
        <f t="shared" si="110"/>
        <v>7428760</v>
      </c>
      <c r="T27" s="82">
        <f t="shared" si="110"/>
        <v>7428760</v>
      </c>
      <c r="U27" s="82">
        <f t="shared" si="110"/>
        <v>7428760</v>
      </c>
      <c r="V27" s="82">
        <f t="shared" si="110"/>
        <v>7428760</v>
      </c>
      <c r="W27" s="82">
        <f t="shared" si="110"/>
        <v>7428760</v>
      </c>
      <c r="X27" s="82">
        <f t="shared" si="110"/>
        <v>7428760</v>
      </c>
      <c r="Y27" s="82">
        <f t="shared" si="110"/>
        <v>7428760</v>
      </c>
      <c r="Z27" s="82">
        <f t="shared" si="110"/>
        <v>7428760</v>
      </c>
      <c r="AA27" s="82">
        <f t="shared" ref="AA27" si="111">AA3-AA11-AA14</f>
        <v>7428761</v>
      </c>
    </row>
    <row r="28" spans="2:27" x14ac:dyDescent="0.35">
      <c r="B28" s="74" t="s">
        <v>119</v>
      </c>
      <c r="C28" s="80">
        <f>C27*'Sensitivity 2'!$D$4</f>
        <v>0</v>
      </c>
      <c r="D28" s="80">
        <f>D27*'Sensitivity 2'!$D$4</f>
        <v>0</v>
      </c>
      <c r="E28" s="80">
        <f>E27*'Sensitivity 2'!$D$4</f>
        <v>0</v>
      </c>
      <c r="F28" s="80">
        <f>F27*'Sensitivity 2'!$D$4</f>
        <v>0</v>
      </c>
      <c r="G28" s="80">
        <f>G27*'Sensitivity 2'!$D$4</f>
        <v>0</v>
      </c>
      <c r="H28" s="80">
        <f>H27*'Sensitivity 2'!$D$4</f>
        <v>371438</v>
      </c>
      <c r="I28" s="80">
        <f>I27*'Sensitivity 2'!$D$4</f>
        <v>371438</v>
      </c>
      <c r="J28" s="80">
        <f>J27*'Sensitivity 2'!$D$4</f>
        <v>371438</v>
      </c>
      <c r="K28" s="80">
        <f>K27*'Sensitivity 2'!$D$4</f>
        <v>371438</v>
      </c>
      <c r="L28" s="80">
        <f>L27*'Sensitivity 2'!$D$4</f>
        <v>371438</v>
      </c>
      <c r="M28" s="80">
        <f>M27*'Sensitivity 2'!$D$4</f>
        <v>371438</v>
      </c>
      <c r="N28" s="80">
        <f>N27*'Sensitivity 2'!$D$4</f>
        <v>371438</v>
      </c>
      <c r="O28" s="80">
        <f>O27*'Sensitivity 2'!$D$4</f>
        <v>371438</v>
      </c>
      <c r="P28" s="80">
        <f>P27*'Sensitivity 2'!$D$4</f>
        <v>492526</v>
      </c>
      <c r="Q28" s="80">
        <f>Q27*'Sensitivity 2'!$D$4</f>
        <v>371438</v>
      </c>
      <c r="R28" s="80">
        <f>R27*'Sensitivity 2'!$D$4</f>
        <v>371438</v>
      </c>
      <c r="S28" s="80">
        <f>S27*'Sensitivity 2'!$D$4</f>
        <v>371438</v>
      </c>
      <c r="T28" s="80">
        <f>T27*'Sensitivity 2'!$D$4</f>
        <v>371438</v>
      </c>
      <c r="U28" s="80">
        <f>U27*'Sensitivity 2'!$D$4</f>
        <v>371438</v>
      </c>
      <c r="V28" s="80">
        <f>V27*'Sensitivity 2'!$D$4</f>
        <v>371438</v>
      </c>
      <c r="W28" s="80">
        <f>W27*'Sensitivity 2'!$D$4</f>
        <v>371438</v>
      </c>
      <c r="X28" s="80">
        <f>X27*'Sensitivity 2'!$D$4</f>
        <v>371438</v>
      </c>
      <c r="Y28" s="80">
        <f>Y27*'Sensitivity 2'!$D$4</f>
        <v>371438</v>
      </c>
      <c r="Z28" s="80">
        <f>Z27*'Sensitivity 2'!$D$4</f>
        <v>371438</v>
      </c>
      <c r="AA28" s="80">
        <f>AA27*'Sensitivity 2'!$D$4</f>
        <v>371438.05000000005</v>
      </c>
    </row>
    <row r="29" spans="2:27" x14ac:dyDescent="0.35">
      <c r="B29" s="75" t="s">
        <v>121</v>
      </c>
      <c r="C29" s="86">
        <f t="shared" ref="C29:Z29" si="112">C27-C28</f>
        <v>0</v>
      </c>
      <c r="D29" s="87">
        <f t="shared" si="112"/>
        <v>0</v>
      </c>
      <c r="E29" s="87">
        <f t="shared" si="112"/>
        <v>0</v>
      </c>
      <c r="F29" s="87">
        <f t="shared" si="112"/>
        <v>0</v>
      </c>
      <c r="G29" s="87">
        <f t="shared" si="112"/>
        <v>0</v>
      </c>
      <c r="H29" s="87">
        <f t="shared" si="112"/>
        <v>7057322</v>
      </c>
      <c r="I29" s="87">
        <f t="shared" si="112"/>
        <v>7057322</v>
      </c>
      <c r="J29" s="87">
        <f t="shared" si="112"/>
        <v>7057322</v>
      </c>
      <c r="K29" s="87">
        <f t="shared" si="112"/>
        <v>7057322</v>
      </c>
      <c r="L29" s="87">
        <f t="shared" si="112"/>
        <v>7057322</v>
      </c>
      <c r="M29" s="87">
        <f t="shared" si="112"/>
        <v>7057322</v>
      </c>
      <c r="N29" s="87">
        <f t="shared" si="112"/>
        <v>7057322</v>
      </c>
      <c r="O29" s="87">
        <f t="shared" si="112"/>
        <v>7057322</v>
      </c>
      <c r="P29" s="87">
        <f t="shared" si="112"/>
        <v>9357994</v>
      </c>
      <c r="Q29" s="87">
        <f t="shared" si="112"/>
        <v>7057322</v>
      </c>
      <c r="R29" s="87">
        <f t="shared" si="112"/>
        <v>7057322</v>
      </c>
      <c r="S29" s="87">
        <f t="shared" si="112"/>
        <v>7057322</v>
      </c>
      <c r="T29" s="87">
        <f t="shared" si="112"/>
        <v>7057322</v>
      </c>
      <c r="U29" s="87">
        <f t="shared" si="112"/>
        <v>7057322</v>
      </c>
      <c r="V29" s="87">
        <f t="shared" si="112"/>
        <v>7057322</v>
      </c>
      <c r="W29" s="87">
        <f t="shared" si="112"/>
        <v>7057322</v>
      </c>
      <c r="X29" s="87">
        <f t="shared" si="112"/>
        <v>7057322</v>
      </c>
      <c r="Y29" s="87">
        <f t="shared" si="112"/>
        <v>7057322</v>
      </c>
      <c r="Z29" s="87">
        <f t="shared" si="112"/>
        <v>7057322</v>
      </c>
      <c r="AA29" s="87">
        <f t="shared" ref="AA29" si="113">AA27-AA28</f>
        <v>7057322.9500000002</v>
      </c>
    </row>
    <row r="30" spans="2:27" x14ac:dyDescent="0.35">
      <c r="C30" s="23"/>
      <c r="E30" s="7"/>
      <c r="F30" s="7"/>
      <c r="G30" s="7"/>
      <c r="H30" s="7"/>
      <c r="I30" s="7"/>
      <c r="J30" s="7"/>
      <c r="K30" s="7"/>
      <c r="L30" s="7"/>
      <c r="M30" s="7"/>
      <c r="N30" s="7"/>
      <c r="O30" s="7"/>
      <c r="P30" s="7"/>
      <c r="Q30" s="7"/>
      <c r="R30" s="7"/>
      <c r="S30" s="7"/>
      <c r="T30" s="7"/>
      <c r="U30" s="7"/>
      <c r="V30" s="7"/>
      <c r="W30" s="7"/>
    </row>
    <row r="31" spans="2:27" x14ac:dyDescent="0.35">
      <c r="D31" s="19"/>
      <c r="E31" s="7"/>
      <c r="F31" s="7"/>
      <c r="G31" s="7"/>
      <c r="H31" s="7"/>
      <c r="I31" s="7"/>
      <c r="J31" s="7"/>
      <c r="K31" s="7"/>
      <c r="L31" s="7"/>
      <c r="M31" s="7"/>
      <c r="N31" s="7"/>
      <c r="O31" s="7"/>
      <c r="P31" s="7"/>
      <c r="Q31" s="7"/>
      <c r="R31" s="7"/>
      <c r="S31" s="7"/>
      <c r="T31" s="7"/>
      <c r="U31" s="7"/>
      <c r="V31" s="7"/>
      <c r="W31" s="7"/>
    </row>
    <row r="32" spans="2:27" x14ac:dyDescent="0.35">
      <c r="B32" s="3"/>
      <c r="C32" s="1"/>
      <c r="E32" s="7"/>
      <c r="F32" s="7"/>
      <c r="G32" s="7"/>
      <c r="H32" s="7"/>
      <c r="I32" s="7"/>
      <c r="J32" s="7"/>
      <c r="K32" s="7"/>
      <c r="L32" s="7"/>
      <c r="M32" s="7"/>
      <c r="N32" s="7"/>
      <c r="O32" s="7"/>
      <c r="P32" s="7"/>
      <c r="Q32" s="7"/>
      <c r="R32" s="7"/>
      <c r="S32" s="7"/>
      <c r="T32" s="7"/>
      <c r="U32" s="7"/>
      <c r="V32" s="7"/>
      <c r="W32" s="7"/>
    </row>
    <row r="33" spans="2:23" x14ac:dyDescent="0.35">
      <c r="C33" s="7"/>
      <c r="D33" s="7"/>
      <c r="E33" s="7"/>
      <c r="F33" s="7"/>
      <c r="G33" s="7"/>
      <c r="H33" s="7"/>
      <c r="I33" s="7"/>
      <c r="J33" s="7"/>
      <c r="K33" s="7"/>
      <c r="L33" s="7"/>
      <c r="M33" s="7"/>
      <c r="N33" s="7"/>
      <c r="O33" s="7"/>
      <c r="P33" s="7"/>
      <c r="Q33" s="7"/>
      <c r="R33" s="7"/>
      <c r="S33" s="7"/>
      <c r="T33" s="7"/>
      <c r="U33" s="7"/>
      <c r="V33" s="7"/>
      <c r="W33" s="7"/>
    </row>
    <row r="34" spans="2:23" x14ac:dyDescent="0.35">
      <c r="C34" s="17"/>
      <c r="D34" s="7"/>
      <c r="E34" s="7"/>
      <c r="F34" s="7"/>
      <c r="G34" s="7"/>
      <c r="H34" s="7"/>
      <c r="I34" s="7"/>
      <c r="J34" s="7"/>
      <c r="K34" s="7"/>
      <c r="L34" s="7"/>
      <c r="M34" s="7"/>
      <c r="N34" s="7"/>
      <c r="O34" s="7"/>
      <c r="P34" s="7"/>
      <c r="Q34" s="7"/>
      <c r="R34" s="7"/>
      <c r="S34" s="7"/>
      <c r="T34" s="7"/>
      <c r="U34" s="7"/>
      <c r="V34" s="7"/>
      <c r="W34" s="7"/>
    </row>
    <row r="36" spans="2:23" x14ac:dyDescent="0.35">
      <c r="B36" s="3"/>
    </row>
    <row r="37" spans="2:23" x14ac:dyDescent="0.35">
      <c r="C37" s="7"/>
    </row>
    <row r="38" spans="2:23" x14ac:dyDescent="0.35">
      <c r="C38" s="7"/>
    </row>
    <row r="40" spans="2:23" x14ac:dyDescent="0.35">
      <c r="B40" s="3"/>
    </row>
    <row r="41" spans="2:23" x14ac:dyDescent="0.35">
      <c r="C41" s="20"/>
    </row>
    <row r="42" spans="2:23" x14ac:dyDescent="0.35">
      <c r="C42" s="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E682C-2BEF-429D-9CFF-B7B88AB803FA}">
  <sheetPr>
    <outlinePr summaryBelow="0"/>
  </sheetPr>
  <dimension ref="A1:AA278"/>
  <sheetViews>
    <sheetView showGridLines="0" zoomScale="70" zoomScaleNormal="70" workbookViewId="0">
      <pane xSplit="2" ySplit="3" topLeftCell="C4" activePane="bottomRight" state="frozen"/>
      <selection pane="topRight" activeCell="C1" sqref="C1"/>
      <selection pane="bottomLeft" activeCell="A4" sqref="A4"/>
      <selection pane="bottomRight" activeCell="A4" sqref="A4"/>
    </sheetView>
  </sheetViews>
  <sheetFormatPr defaultRowHeight="14.5" outlineLevelRow="1" x14ac:dyDescent="0.35"/>
  <cols>
    <col min="1" max="1" width="4" customWidth="1"/>
    <col min="2" max="2" width="26.6328125" bestFit="1" customWidth="1"/>
    <col min="3" max="4" width="7.54296875" bestFit="1" customWidth="1"/>
    <col min="5" max="17" width="8.6328125" bestFit="1" customWidth="1"/>
    <col min="18" max="27" width="7.54296875" bestFit="1" customWidth="1"/>
  </cols>
  <sheetData>
    <row r="1" spans="1:27" x14ac:dyDescent="0.35">
      <c r="B1" t="s">
        <v>127</v>
      </c>
    </row>
    <row r="2" spans="1:27" x14ac:dyDescent="0.35">
      <c r="A2" t="s">
        <v>196</v>
      </c>
      <c r="B2" s="128" t="s">
        <v>136</v>
      </c>
    </row>
    <row r="3" spans="1:27" x14ac:dyDescent="0.35">
      <c r="B3" s="38" t="s">
        <v>66</v>
      </c>
      <c r="C3" s="57">
        <f>'Project Cash Flows'!C2</f>
        <v>0</v>
      </c>
      <c r="D3" s="57">
        <f>'Project Cash Flows'!D2</f>
        <v>1</v>
      </c>
      <c r="E3" s="57">
        <f>'Project Cash Flows'!E2</f>
        <v>2</v>
      </c>
      <c r="F3" s="57">
        <f>'Project Cash Flows'!F2</f>
        <v>3</v>
      </c>
      <c r="G3" s="57">
        <f>'Project Cash Flows'!G2</f>
        <v>4</v>
      </c>
      <c r="H3" s="57">
        <f>'Project Cash Flows'!H2</f>
        <v>5</v>
      </c>
      <c r="I3" s="57">
        <f>'Project Cash Flows'!I2</f>
        <v>6</v>
      </c>
      <c r="J3" s="57">
        <f>'Project Cash Flows'!J2</f>
        <v>7</v>
      </c>
      <c r="K3" s="57">
        <f>'Project Cash Flows'!K2</f>
        <v>8</v>
      </c>
      <c r="L3" s="57">
        <f>'Project Cash Flows'!L2</f>
        <v>9</v>
      </c>
      <c r="M3" s="57">
        <f>'Project Cash Flows'!M2</f>
        <v>10</v>
      </c>
      <c r="N3" s="57">
        <f>'Project Cash Flows'!N2</f>
        <v>11</v>
      </c>
      <c r="O3" s="57">
        <f>'Project Cash Flows'!O2</f>
        <v>12</v>
      </c>
      <c r="P3" s="57">
        <f>'Project Cash Flows'!P2</f>
        <v>13</v>
      </c>
      <c r="Q3" s="57">
        <f>'Project Cash Flows'!Q2</f>
        <v>14</v>
      </c>
      <c r="R3" s="57">
        <f>'Project Cash Flows'!R2</f>
        <v>15</v>
      </c>
      <c r="S3" s="57">
        <f>'Project Cash Flows'!S2</f>
        <v>16</v>
      </c>
      <c r="T3" s="57">
        <f>'Project Cash Flows'!T2</f>
        <v>17</v>
      </c>
      <c r="U3" s="57">
        <f>'Project Cash Flows'!U2</f>
        <v>18</v>
      </c>
      <c r="V3" s="57">
        <f>'Project Cash Flows'!V2</f>
        <v>19</v>
      </c>
      <c r="W3" s="57">
        <f>'Project Cash Flows'!W2</f>
        <v>20</v>
      </c>
      <c r="X3" s="57">
        <f>'Project Cash Flows'!X2</f>
        <v>21</v>
      </c>
      <c r="Y3" s="57">
        <f>'Project Cash Flows'!Y2</f>
        <v>22</v>
      </c>
      <c r="Z3" s="57">
        <f>'Project Cash Flows'!Z2</f>
        <v>23</v>
      </c>
      <c r="AA3" s="57">
        <f>'Project Cash Flows'!AA2</f>
        <v>24</v>
      </c>
    </row>
    <row r="4" spans="1:27" x14ac:dyDescent="0.35">
      <c r="B4" s="3" t="s">
        <v>124</v>
      </c>
      <c r="C4" s="83">
        <f t="shared" ref="C4:AA4" si="0">C5</f>
        <v>0</v>
      </c>
      <c r="D4" s="83">
        <f t="shared" si="0"/>
        <v>0</v>
      </c>
      <c r="E4" s="83">
        <f t="shared" si="0"/>
        <v>0</v>
      </c>
      <c r="F4" s="83">
        <f t="shared" si="0"/>
        <v>0</v>
      </c>
      <c r="G4" s="83">
        <f t="shared" si="0"/>
        <v>0</v>
      </c>
      <c r="H4" s="83">
        <f t="shared" si="0"/>
        <v>371438</v>
      </c>
      <c r="I4" s="83">
        <f t="shared" si="0"/>
        <v>371438</v>
      </c>
      <c r="J4" s="83">
        <f t="shared" si="0"/>
        <v>371438</v>
      </c>
      <c r="K4" s="83">
        <f t="shared" si="0"/>
        <v>371438</v>
      </c>
      <c r="L4" s="83">
        <f t="shared" si="0"/>
        <v>371438</v>
      </c>
      <c r="M4" s="83">
        <f t="shared" si="0"/>
        <v>371438</v>
      </c>
      <c r="N4" s="83">
        <f t="shared" si="0"/>
        <v>371438</v>
      </c>
      <c r="O4" s="83">
        <f t="shared" si="0"/>
        <v>371438</v>
      </c>
      <c r="P4" s="83">
        <f t="shared" si="0"/>
        <v>492526</v>
      </c>
      <c r="Q4" s="83">
        <f t="shared" si="0"/>
        <v>371438</v>
      </c>
      <c r="R4" s="83">
        <f t="shared" si="0"/>
        <v>371438</v>
      </c>
      <c r="S4" s="83">
        <f t="shared" si="0"/>
        <v>371438</v>
      </c>
      <c r="T4" s="83">
        <f t="shared" si="0"/>
        <v>371438</v>
      </c>
      <c r="U4" s="83">
        <f t="shared" si="0"/>
        <v>371438</v>
      </c>
      <c r="V4" s="83">
        <f t="shared" si="0"/>
        <v>371438</v>
      </c>
      <c r="W4" s="83">
        <f t="shared" si="0"/>
        <v>371438</v>
      </c>
      <c r="X4" s="83">
        <f t="shared" si="0"/>
        <v>371438</v>
      </c>
      <c r="Y4" s="83">
        <f t="shared" si="0"/>
        <v>371438</v>
      </c>
      <c r="Z4" s="83">
        <f t="shared" si="0"/>
        <v>371438</v>
      </c>
      <c r="AA4" s="83">
        <f t="shared" si="0"/>
        <v>371438.05000000005</v>
      </c>
    </row>
    <row r="5" spans="1:27" x14ac:dyDescent="0.35">
      <c r="B5" s="69" t="s">
        <v>126</v>
      </c>
      <c r="C5" s="85">
        <f>'Project Cash Flows'!C$28</f>
        <v>0</v>
      </c>
      <c r="D5" s="85">
        <f>'Project Cash Flows'!D$28</f>
        <v>0</v>
      </c>
      <c r="E5" s="85">
        <f>'Project Cash Flows'!E$28</f>
        <v>0</v>
      </c>
      <c r="F5" s="85">
        <f>'Project Cash Flows'!F$28</f>
        <v>0</v>
      </c>
      <c r="G5" s="85">
        <f>'Project Cash Flows'!G$28</f>
        <v>0</v>
      </c>
      <c r="H5" s="85">
        <f>'Project Cash Flows'!H$28</f>
        <v>371438</v>
      </c>
      <c r="I5" s="85">
        <f>'Project Cash Flows'!I$28</f>
        <v>371438</v>
      </c>
      <c r="J5" s="85">
        <f>'Project Cash Flows'!J$28</f>
        <v>371438</v>
      </c>
      <c r="K5" s="85">
        <f>'Project Cash Flows'!K$28</f>
        <v>371438</v>
      </c>
      <c r="L5" s="85">
        <f>'Project Cash Flows'!L$28</f>
        <v>371438</v>
      </c>
      <c r="M5" s="85">
        <f>'Project Cash Flows'!M$28</f>
        <v>371438</v>
      </c>
      <c r="N5" s="85">
        <f>'Project Cash Flows'!N$28</f>
        <v>371438</v>
      </c>
      <c r="O5" s="85">
        <f>'Project Cash Flows'!O$28</f>
        <v>371438</v>
      </c>
      <c r="P5" s="85">
        <f>'Project Cash Flows'!P$28</f>
        <v>492526</v>
      </c>
      <c r="Q5" s="85">
        <f>'Project Cash Flows'!Q$28</f>
        <v>371438</v>
      </c>
      <c r="R5" s="85">
        <f>'Project Cash Flows'!R$28</f>
        <v>371438</v>
      </c>
      <c r="S5" s="85">
        <f>'Project Cash Flows'!S$28</f>
        <v>371438</v>
      </c>
      <c r="T5" s="85">
        <f>'Project Cash Flows'!T$28</f>
        <v>371438</v>
      </c>
      <c r="U5" s="85">
        <f>'Project Cash Flows'!U$28</f>
        <v>371438</v>
      </c>
      <c r="V5" s="85">
        <f>'Project Cash Flows'!V$28</f>
        <v>371438</v>
      </c>
      <c r="W5" s="85">
        <f>'Project Cash Flows'!W$28</f>
        <v>371438</v>
      </c>
      <c r="X5" s="85">
        <f>'Project Cash Flows'!X$28</f>
        <v>371438</v>
      </c>
      <c r="Y5" s="85">
        <f>'Project Cash Flows'!Y$28</f>
        <v>371438</v>
      </c>
      <c r="Z5" s="85">
        <f>'Project Cash Flows'!Z$28</f>
        <v>371438</v>
      </c>
      <c r="AA5" s="85">
        <f>'Project Cash Flows'!AA$28</f>
        <v>371438.05000000005</v>
      </c>
    </row>
    <row r="6" spans="1:27" x14ac:dyDescent="0.35">
      <c r="B6" s="3" t="s">
        <v>109</v>
      </c>
      <c r="C6" s="83">
        <f t="shared" ref="C6:AA6" si="1">C7+C8</f>
        <v>0</v>
      </c>
      <c r="D6" s="83">
        <f t="shared" si="1"/>
        <v>187500</v>
      </c>
      <c r="E6" s="83">
        <f t="shared" si="1"/>
        <v>434652.5</v>
      </c>
      <c r="F6" s="83">
        <f t="shared" si="1"/>
        <v>1509972.0966099999</v>
      </c>
      <c r="G6" s="83">
        <f t="shared" si="1"/>
        <v>4014064.7935640984</v>
      </c>
      <c r="H6" s="83">
        <f t="shared" si="1"/>
        <v>2847816.2078251997</v>
      </c>
      <c r="I6" s="83">
        <f t="shared" si="1"/>
        <v>2771141.8266784917</v>
      </c>
      <c r="J6" s="83">
        <f t="shared" si="1"/>
        <v>2694694.9254791681</v>
      </c>
      <c r="K6" s="83">
        <f t="shared" si="1"/>
        <v>2618478.9164264407</v>
      </c>
      <c r="L6" s="83">
        <f t="shared" si="1"/>
        <v>2542497.2629025076</v>
      </c>
      <c r="M6" s="83">
        <f t="shared" si="1"/>
        <v>2466753.4802403012</v>
      </c>
      <c r="N6" s="83">
        <f t="shared" si="1"/>
        <v>2391251.1365027474</v>
      </c>
      <c r="O6" s="83">
        <f t="shared" si="1"/>
        <v>2315993.8532737158</v>
      </c>
      <c r="P6" s="83">
        <f t="shared" si="1"/>
        <v>2964860.3721905053</v>
      </c>
      <c r="Q6" s="83">
        <f t="shared" si="1"/>
        <v>5105161.9939728081</v>
      </c>
      <c r="R6" s="83">
        <f t="shared" si="1"/>
        <v>2091729.4022341846</v>
      </c>
      <c r="S6" s="83">
        <f t="shared" si="1"/>
        <v>2017489.6756494672</v>
      </c>
      <c r="T6" s="83">
        <f t="shared" si="1"/>
        <v>1943513.9488305645</v>
      </c>
      <c r="U6" s="83">
        <f t="shared" si="1"/>
        <v>1869806.1817739638</v>
      </c>
      <c r="V6" s="83">
        <f t="shared" si="1"/>
        <v>1796370.3938761</v>
      </c>
      <c r="W6" s="83">
        <f t="shared" si="1"/>
        <v>1723210.6648243535</v>
      </c>
      <c r="X6" s="83">
        <f t="shared" si="1"/>
        <v>1650331.1355014166</v>
      </c>
      <c r="Y6" s="83">
        <f t="shared" si="1"/>
        <v>1577736.0089032212</v>
      </c>
      <c r="Z6" s="83">
        <f t="shared" si="1"/>
        <v>1505429.5510706385</v>
      </c>
      <c r="AA6" s="83">
        <f t="shared" si="1"/>
        <v>1433416.0910627791</v>
      </c>
    </row>
    <row r="7" spans="1:27" x14ac:dyDescent="0.35">
      <c r="B7" s="69" t="s">
        <v>146</v>
      </c>
      <c r="C7" s="85">
        <f t="shared" ref="C7:Z7" si="2">+C37</f>
        <v>0</v>
      </c>
      <c r="D7" s="85">
        <f t="shared" si="2"/>
        <v>187500</v>
      </c>
      <c r="E7" s="85">
        <f t="shared" si="2"/>
        <v>434652.5</v>
      </c>
      <c r="F7" s="85">
        <f t="shared" si="2"/>
        <v>876876.58125000005</v>
      </c>
      <c r="G7" s="85">
        <f t="shared" si="2"/>
        <v>1443697.0012025</v>
      </c>
      <c r="H7" s="85">
        <f t="shared" si="2"/>
        <v>1836794.219447481</v>
      </c>
      <c r="I7" s="85">
        <f t="shared" si="2"/>
        <v>1744954.5084751071</v>
      </c>
      <c r="J7" s="85">
        <f t="shared" si="2"/>
        <v>1653114.7975027328</v>
      </c>
      <c r="K7" s="85">
        <f t="shared" si="2"/>
        <v>1561275.0865303588</v>
      </c>
      <c r="L7" s="85">
        <f t="shared" si="2"/>
        <v>1469435.3755579847</v>
      </c>
      <c r="M7" s="85">
        <f t="shared" si="2"/>
        <v>1377595.6645856106</v>
      </c>
      <c r="N7" s="85">
        <f t="shared" si="2"/>
        <v>1285755.9536132365</v>
      </c>
      <c r="O7" s="85">
        <f t="shared" si="2"/>
        <v>1193916.2426408622</v>
      </c>
      <c r="P7" s="85">
        <f t="shared" si="2"/>
        <v>1102076.5316684882</v>
      </c>
      <c r="Q7" s="85">
        <f t="shared" si="2"/>
        <v>1010236.8206961141</v>
      </c>
      <c r="R7" s="85">
        <f t="shared" si="2"/>
        <v>918397.10972373991</v>
      </c>
      <c r="S7" s="85">
        <f t="shared" si="2"/>
        <v>826557.39875136595</v>
      </c>
      <c r="T7" s="85">
        <f t="shared" si="2"/>
        <v>734717.68777899188</v>
      </c>
      <c r="U7" s="85">
        <f t="shared" si="2"/>
        <v>642877.97680661781</v>
      </c>
      <c r="V7" s="85">
        <f t="shared" si="2"/>
        <v>551038.26583424385</v>
      </c>
      <c r="W7" s="85">
        <f t="shared" si="2"/>
        <v>459198.55486186978</v>
      </c>
      <c r="X7" s="85">
        <f t="shared" si="2"/>
        <v>367358.84388949577</v>
      </c>
      <c r="Y7" s="85">
        <f t="shared" si="2"/>
        <v>275519.13291712169</v>
      </c>
      <c r="Z7" s="85">
        <f t="shared" si="2"/>
        <v>183679.42194474768</v>
      </c>
      <c r="AA7" s="85">
        <f t="shared" ref="AA7" si="3">+AA37</f>
        <v>91839.71</v>
      </c>
    </row>
    <row r="8" spans="1:27" x14ac:dyDescent="0.35">
      <c r="B8" s="69" t="s">
        <v>163</v>
      </c>
      <c r="C8" s="85">
        <f t="shared" ref="C8:AA8" si="4">SUM(C9:C11)</f>
        <v>0</v>
      </c>
      <c r="D8" s="85">
        <f t="shared" si="4"/>
        <v>0</v>
      </c>
      <c r="E8" s="85">
        <f t="shared" si="4"/>
        <v>0</v>
      </c>
      <c r="F8" s="85">
        <f t="shared" si="4"/>
        <v>633095.51535999984</v>
      </c>
      <c r="G8" s="85">
        <f t="shared" si="4"/>
        <v>2570367.7923615985</v>
      </c>
      <c r="H8" s="85">
        <f t="shared" si="4"/>
        <v>1011021.988377719</v>
      </c>
      <c r="I8" s="85">
        <f t="shared" si="4"/>
        <v>1026187.3182033846</v>
      </c>
      <c r="J8" s="85">
        <f t="shared" si="4"/>
        <v>1041580.1279764354</v>
      </c>
      <c r="K8" s="85">
        <f t="shared" si="4"/>
        <v>1057203.8298960817</v>
      </c>
      <c r="L8" s="85">
        <f t="shared" si="4"/>
        <v>1073061.8873445229</v>
      </c>
      <c r="M8" s="85">
        <f t="shared" si="4"/>
        <v>1089157.8156546906</v>
      </c>
      <c r="N8" s="85">
        <f t="shared" si="4"/>
        <v>1105495.1828895109</v>
      </c>
      <c r="O8" s="85">
        <f t="shared" si="4"/>
        <v>1122077.6106328536</v>
      </c>
      <c r="P8" s="85">
        <f t="shared" si="4"/>
        <v>1862783.8405220169</v>
      </c>
      <c r="Q8" s="85">
        <f t="shared" si="4"/>
        <v>4094925.173276694</v>
      </c>
      <c r="R8" s="85">
        <f t="shared" si="4"/>
        <v>1173332.2925104445</v>
      </c>
      <c r="S8" s="85">
        <f t="shared" si="4"/>
        <v>1190932.2768981012</v>
      </c>
      <c r="T8" s="85">
        <f t="shared" si="4"/>
        <v>1208796.2610515726</v>
      </c>
      <c r="U8" s="85">
        <f t="shared" si="4"/>
        <v>1226928.204967346</v>
      </c>
      <c r="V8" s="85">
        <f t="shared" si="4"/>
        <v>1245332.128041856</v>
      </c>
      <c r="W8" s="85">
        <f t="shared" si="4"/>
        <v>1264012.1099624839</v>
      </c>
      <c r="X8" s="85">
        <f t="shared" si="4"/>
        <v>1282972.2916119208</v>
      </c>
      <c r="Y8" s="85">
        <f t="shared" si="4"/>
        <v>1302216.8759860995</v>
      </c>
      <c r="Z8" s="85">
        <f t="shared" si="4"/>
        <v>1321750.1291258908</v>
      </c>
      <c r="AA8" s="85">
        <f t="shared" si="4"/>
        <v>1341576.3810627791</v>
      </c>
    </row>
    <row r="9" spans="1:27" x14ac:dyDescent="0.35">
      <c r="B9" s="129" t="s">
        <v>108</v>
      </c>
      <c r="C9" s="85">
        <v>0</v>
      </c>
      <c r="D9" s="85">
        <v>0</v>
      </c>
      <c r="E9" s="85">
        <v>0</v>
      </c>
      <c r="F9" s="85">
        <v>0</v>
      </c>
      <c r="G9" s="85">
        <v>0</v>
      </c>
      <c r="H9" s="85">
        <f>('Project Assumptions'!$F$46+'Project Assumptions'!$F$47)*(1+'Sensitivity 2'!$D$5)^'Government Impact_baseline'!H3</f>
        <v>92624.878653978507</v>
      </c>
      <c r="I9" s="85">
        <f>('Project Assumptions'!$F$46+'Project Assumptions'!$F$47)*(1+'Sensitivity 2'!$D$5)^'Government Impact_baseline'!I3</f>
        <v>94014.251833788163</v>
      </c>
      <c r="J9" s="85">
        <f>('Project Assumptions'!$F$46+'Project Assumptions'!$F$47)*(1+'Sensitivity 2'!$D$5)^'Government Impact_baseline'!J3</f>
        <v>95424.465611294974</v>
      </c>
      <c r="K9" s="85">
        <f>('Project Assumptions'!$F$46+'Project Assumptions'!$F$47)*(1+'Sensitivity 2'!$D$5)^'Government Impact_baseline'!K3</f>
        <v>96855.832595464381</v>
      </c>
      <c r="L9" s="85">
        <f>('Project Assumptions'!$F$46+'Project Assumptions'!$F$47)*(1+'Sensitivity 2'!$D$5)^'Government Impact_baseline'!L3</f>
        <v>98308.670084396334</v>
      </c>
      <c r="M9" s="85">
        <f>('Project Assumptions'!$F$46+'Project Assumptions'!$F$47)*(1+'Sensitivity 2'!$D$5)^'Government Impact_baseline'!M3</f>
        <v>99783.30013566227</v>
      </c>
      <c r="N9" s="85">
        <f>('Project Assumptions'!$F$46+'Project Assumptions'!$F$47)*(1+'Sensitivity 2'!$D$5)^'Government Impact_baseline'!N3</f>
        <v>101280.0496376972</v>
      </c>
      <c r="O9" s="85">
        <f>('Project Assumptions'!$F$46+'Project Assumptions'!$F$47)*(1+'Sensitivity 2'!$D$5)^'Government Impact_baseline'!O3</f>
        <v>102799.25038226263</v>
      </c>
      <c r="P9" s="85">
        <f>('Project Assumptions'!$F$46+'Project Assumptions'!$F$47)*(1+'Sensitivity 2'!$D$5)^'Government Impact_baseline'!P3</f>
        <v>104341.23913799657</v>
      </c>
      <c r="Q9" s="85">
        <f>('Project Assumptions'!$F$46+'Project Assumptions'!$F$47)*(1+'Sensitivity 2'!$D$5)^'Government Impact_baseline'!Q3</f>
        <v>105906.35772506648</v>
      </c>
      <c r="R9" s="85">
        <f>('Project Assumptions'!$F$46+'Project Assumptions'!$F$47)*(1+'Sensitivity 2'!$D$5)^'Government Impact_baseline'!R3</f>
        <v>107494.95309094246</v>
      </c>
      <c r="S9" s="85">
        <f>('Project Assumptions'!$F$46+'Project Assumptions'!$F$47)*(1+'Sensitivity 2'!$D$5)^'Government Impact_baseline'!S3</f>
        <v>109107.37738730659</v>
      </c>
      <c r="T9" s="85">
        <f>('Project Assumptions'!$F$46+'Project Assumptions'!$F$47)*(1+'Sensitivity 2'!$D$5)^'Government Impact_baseline'!T3</f>
        <v>110743.98804811617</v>
      </c>
      <c r="U9" s="85">
        <f>('Project Assumptions'!$F$46+'Project Assumptions'!$F$47)*(1+'Sensitivity 2'!$D$5)^'Government Impact_baseline'!U3</f>
        <v>112405.14786883791</v>
      </c>
      <c r="V9" s="85">
        <f>('Project Assumptions'!$F$46+'Project Assumptions'!$F$47)*(1+'Sensitivity 2'!$D$5)^'Government Impact_baseline'!V3</f>
        <v>114091.22508687047</v>
      </c>
      <c r="W9" s="85">
        <f>('Project Assumptions'!$F$46+'Project Assumptions'!$F$47)*(1+'Sensitivity 2'!$D$5)^'Government Impact_baseline'!W3</f>
        <v>115802.59346317349</v>
      </c>
      <c r="X9" s="85">
        <f>('Project Assumptions'!$F$46+'Project Assumptions'!$F$47)*(1+'Sensitivity 2'!$D$5)^'Government Impact_baseline'!X3</f>
        <v>117539.63236512108</v>
      </c>
      <c r="Y9" s="85">
        <f>('Project Assumptions'!$F$46+'Project Assumptions'!$F$47)*(1+'Sensitivity 2'!$D$5)^'Government Impact_baseline'!Y3</f>
        <v>119302.72685059787</v>
      </c>
      <c r="Z9" s="85">
        <f>('Project Assumptions'!$F$46+'Project Assumptions'!$F$47)*(1+'Sensitivity 2'!$D$5)^'Government Impact_baseline'!Z3</f>
        <v>121092.26775335683</v>
      </c>
      <c r="AA9" s="85">
        <f>('Project Assumptions'!$F$46+'Project Assumptions'!$F$47)*(1+'Sensitivity 2'!$D$5)^'Government Impact_baseline'!AA3</f>
        <v>122908.65176965717</v>
      </c>
    </row>
    <row r="10" spans="1:27" x14ac:dyDescent="0.35">
      <c r="B10" s="129" t="s">
        <v>110</v>
      </c>
      <c r="C10" s="85">
        <v>0</v>
      </c>
      <c r="D10" s="85">
        <v>0</v>
      </c>
      <c r="E10" s="85">
        <v>0</v>
      </c>
      <c r="F10" s="85">
        <v>0</v>
      </c>
      <c r="G10" s="85">
        <v>0</v>
      </c>
      <c r="H10" s="85">
        <f>SUM(C17:G17)*0.05</f>
        <v>918397.10972374049</v>
      </c>
      <c r="I10" s="85">
        <f>H10*(1+'Sensitivity 2'!$D$5)</f>
        <v>932173.06636959652</v>
      </c>
      <c r="J10" s="85">
        <f>I10*(1+'Sensitivity 2'!$D$5)</f>
        <v>946155.66236514039</v>
      </c>
      <c r="K10" s="85">
        <f>J10*(1+'Sensitivity 2'!$D$5)</f>
        <v>960347.9973006174</v>
      </c>
      <c r="L10" s="85">
        <f>K10*(1+'Sensitivity 2'!$D$5)</f>
        <v>974753.21726012661</v>
      </c>
      <c r="M10" s="85">
        <f>L10*(1+'Sensitivity 2'!$D$5)</f>
        <v>989374.51551902841</v>
      </c>
      <c r="N10" s="85">
        <f>M10*(1+'Sensitivity 2'!$D$5)</f>
        <v>1004215.1332518137</v>
      </c>
      <c r="O10" s="85">
        <f>N10*(1+'Sensitivity 2'!$D$5)</f>
        <v>1019278.3602505908</v>
      </c>
      <c r="P10" s="85">
        <f>O10*(1+'Sensitivity 2'!$D$5)</f>
        <v>1034567.5356543496</v>
      </c>
      <c r="Q10" s="85">
        <f>P10*(1+'Sensitivity 2'!$D$5)</f>
        <v>1050086.0486891647</v>
      </c>
      <c r="R10" s="85">
        <f>Q10*(1+'Sensitivity 2'!$D$5)</f>
        <v>1065837.3394195021</v>
      </c>
      <c r="S10" s="85">
        <f>R10*(1+'Sensitivity 2'!$D$5)</f>
        <v>1081824.8995107946</v>
      </c>
      <c r="T10" s="85">
        <f>S10*(1+'Sensitivity 2'!$D$5)</f>
        <v>1098052.2730034564</v>
      </c>
      <c r="U10" s="85">
        <f>T10*(1+'Sensitivity 2'!$D$5)</f>
        <v>1114523.0570985081</v>
      </c>
      <c r="V10" s="85">
        <f>U10*(1+'Sensitivity 2'!$D$5)</f>
        <v>1131240.9029549856</v>
      </c>
      <c r="W10" s="85">
        <f>V10*(1+'Sensitivity 2'!$D$5)</f>
        <v>1148209.5164993103</v>
      </c>
      <c r="X10" s="85">
        <f>W10*(1+'Sensitivity 2'!$D$5)</f>
        <v>1165432.6592467998</v>
      </c>
      <c r="Y10" s="85">
        <f>X10*(1+'Sensitivity 2'!$D$5)</f>
        <v>1182914.1491355016</v>
      </c>
      <c r="Z10" s="85">
        <f>Y10*(1+'Sensitivity 2'!$D$5)</f>
        <v>1200657.861372534</v>
      </c>
      <c r="AA10" s="85">
        <f>Z10*(1+'Sensitivity 2'!$D$5)</f>
        <v>1218667.729293122</v>
      </c>
    </row>
    <row r="11" spans="1:27" collapsed="1" x14ac:dyDescent="0.35">
      <c r="B11" s="129" t="s">
        <v>125</v>
      </c>
      <c r="C11" s="85">
        <f t="shared" ref="C11:Z11" si="5">+SUM(C12:C16)</f>
        <v>0</v>
      </c>
      <c r="D11" s="85">
        <f t="shared" si="5"/>
        <v>0</v>
      </c>
      <c r="E11" s="85">
        <f t="shared" si="5"/>
        <v>0</v>
      </c>
      <c r="F11" s="85">
        <f t="shared" si="5"/>
        <v>633095.51535999984</v>
      </c>
      <c r="G11" s="85">
        <f t="shared" si="5"/>
        <v>2570367.7923615985</v>
      </c>
      <c r="H11" s="85">
        <f t="shared" si="5"/>
        <v>0</v>
      </c>
      <c r="I11" s="85">
        <f t="shared" si="5"/>
        <v>0</v>
      </c>
      <c r="J11" s="85">
        <f t="shared" si="5"/>
        <v>0</v>
      </c>
      <c r="K11" s="85">
        <f t="shared" si="5"/>
        <v>0</v>
      </c>
      <c r="L11" s="85">
        <f t="shared" si="5"/>
        <v>0</v>
      </c>
      <c r="M11" s="85">
        <f t="shared" si="5"/>
        <v>0</v>
      </c>
      <c r="N11" s="85">
        <f t="shared" si="5"/>
        <v>0</v>
      </c>
      <c r="O11" s="85">
        <f t="shared" si="5"/>
        <v>0</v>
      </c>
      <c r="P11" s="85">
        <f t="shared" si="5"/>
        <v>723875.06572967069</v>
      </c>
      <c r="Q11" s="85">
        <f t="shared" si="5"/>
        <v>2938932.7668624627</v>
      </c>
      <c r="R11" s="85">
        <f t="shared" si="5"/>
        <v>0</v>
      </c>
      <c r="S11" s="85">
        <f t="shared" si="5"/>
        <v>0</v>
      </c>
      <c r="T11" s="85">
        <f t="shared" si="5"/>
        <v>0</v>
      </c>
      <c r="U11" s="85">
        <f t="shared" si="5"/>
        <v>0</v>
      </c>
      <c r="V11" s="85">
        <f t="shared" si="5"/>
        <v>0</v>
      </c>
      <c r="W11" s="85">
        <f t="shared" si="5"/>
        <v>0</v>
      </c>
      <c r="X11" s="85">
        <f t="shared" si="5"/>
        <v>0</v>
      </c>
      <c r="Y11" s="85">
        <f t="shared" si="5"/>
        <v>0</v>
      </c>
      <c r="Z11" s="85">
        <f t="shared" si="5"/>
        <v>0</v>
      </c>
      <c r="AA11" s="85">
        <f t="shared" ref="AA11" si="6">+SUM(AA12:AA16)</f>
        <v>0</v>
      </c>
    </row>
    <row r="12" spans="1:27" hidden="1" outlineLevel="1" x14ac:dyDescent="0.35">
      <c r="B12" s="133" t="str">
        <f>+'Project Assumptions'!B36</f>
        <v>Tractors</v>
      </c>
      <c r="C12" s="85">
        <f>+'Project Assumptions'!$D36*'Project Assumptions'!$E36*'Project Assumptions'!G36*'Sensitivity 2'!$D$13</f>
        <v>0</v>
      </c>
      <c r="D12" s="85">
        <f>+'Project Assumptions'!$D36*'Project Assumptions'!$E36*'Project Assumptions'!H36*(1+'Sensitivity 2'!$D$5)^'Government Impact_baseline'!D$3*'Sensitivity 2'!$D$13</f>
        <v>0</v>
      </c>
      <c r="E12" s="85">
        <f>+'Project Assumptions'!$D36*'Project Assumptions'!$E36*'Project Assumptions'!I36*(1+'Sensitivity 2'!$D$5)^'Government Impact_baseline'!E$3*'Sensitivity 2'!$D$13</f>
        <v>0</v>
      </c>
      <c r="F12" s="85">
        <f>+'Project Assumptions'!$D36*'Project Assumptions'!$E36*'Project Assumptions'!J36*(1+'Sensitivity 2'!$D$5)^'Government Impact_baseline'!F$3*'Sensitivity 2'!$D$13</f>
        <v>122302.54273999996</v>
      </c>
      <c r="G12" s="85">
        <f>+'Project Assumptions'!$D36*'Project Assumptions'!$E36*'Project Assumptions'!K36*(1+'Sensitivity 2'!$D$5)^'Government Impact_baseline'!G$3*'Sensitivity 2'!$D$13</f>
        <v>496548.32352439972</v>
      </c>
      <c r="H12" s="85">
        <v>0</v>
      </c>
      <c r="I12" s="85">
        <v>0</v>
      </c>
      <c r="J12" s="85">
        <v>0</v>
      </c>
      <c r="K12" s="85">
        <v>0</v>
      </c>
      <c r="L12" s="85">
        <v>0</v>
      </c>
      <c r="M12" s="85">
        <v>0</v>
      </c>
      <c r="N12" s="85">
        <v>0</v>
      </c>
      <c r="O12" s="85">
        <v>0</v>
      </c>
      <c r="P12" s="85">
        <f>+'Project Assumptions'!$D36*'Project Assumptions'!$E36*'Project Assumptions'!M36*(1+'Sensitivity 2'!$D$5)^'Government Impact_baseline'!O$3*'Sensitivity 2'!$D$13</f>
        <v>139839.50133414092</v>
      </c>
      <c r="Q12" s="85">
        <f>+'Project Assumptions'!$D36*'Project Assumptions'!$E36*'Project Assumptions'!N36*(1+'Sensitivity 2'!$D$5)^'Government Impact_baseline'!P$3*'Sensitivity 2'!$D$13</f>
        <v>567748.37541661214</v>
      </c>
      <c r="R12" s="85">
        <v>0</v>
      </c>
      <c r="S12" s="85">
        <v>0</v>
      </c>
      <c r="T12" s="85">
        <v>0</v>
      </c>
      <c r="U12" s="85">
        <v>0</v>
      </c>
      <c r="V12" s="85">
        <v>0</v>
      </c>
      <c r="W12" s="85">
        <v>0</v>
      </c>
      <c r="X12" s="85">
        <v>0</v>
      </c>
      <c r="Y12" s="85">
        <v>0</v>
      </c>
      <c r="Z12" s="85">
        <v>0</v>
      </c>
      <c r="AA12" s="85">
        <v>0</v>
      </c>
    </row>
    <row r="13" spans="1:27" hidden="1" outlineLevel="1" x14ac:dyDescent="0.35">
      <c r="B13" s="133" t="str">
        <f>+'Project Assumptions'!B37</f>
        <v>Vertical tillage tools</v>
      </c>
      <c r="C13" s="85">
        <f>+'Project Assumptions'!$D37*'Project Assumptions'!$E37*'Project Assumptions'!G37*'Sensitivity 2'!$D$13</f>
        <v>0</v>
      </c>
      <c r="D13" s="85">
        <f>+'Project Assumptions'!$D37*'Project Assumptions'!$E37*'Project Assumptions'!H37*(1+'Sensitivity 2'!$D$5)^'Government Impact_baseline'!D$3*'Sensitivity 2'!$D$13</f>
        <v>0</v>
      </c>
      <c r="E13" s="85">
        <f>+'Project Assumptions'!$D37*'Project Assumptions'!$E37*'Project Assumptions'!I37*(1+'Sensitivity 2'!$D$5)^'Government Impact_baseline'!E$3*'Sensitivity 2'!$D$13</f>
        <v>0</v>
      </c>
      <c r="F13" s="85">
        <f>+'Project Assumptions'!$D37*'Project Assumptions'!$E37*'Project Assumptions'!J37*(1+'Sensitivity 2'!$D$5)^'Government Impact_baseline'!F$3*'Sensitivity 2'!$D$13</f>
        <v>68345.538589999967</v>
      </c>
      <c r="G13" s="85">
        <f>+'Project Assumptions'!$D37*'Project Assumptions'!$E37*'Project Assumptions'!K37*(1+'Sensitivity 2'!$D$5)^'Government Impact_baseline'!G$3*'Sensitivity 2'!$D$13</f>
        <v>277482.88667539984</v>
      </c>
      <c r="H13" s="85">
        <v>0</v>
      </c>
      <c r="I13" s="85">
        <v>0</v>
      </c>
      <c r="J13" s="85">
        <v>0</v>
      </c>
      <c r="K13" s="85">
        <v>0</v>
      </c>
      <c r="L13" s="85">
        <v>0</v>
      </c>
      <c r="M13" s="85">
        <v>0</v>
      </c>
      <c r="N13" s="85">
        <v>0</v>
      </c>
      <c r="O13" s="85">
        <v>0</v>
      </c>
      <c r="P13" s="85">
        <f>+'Project Assumptions'!$D37*'Project Assumptions'!$E37*'Project Assumptions'!M37*(1+'Sensitivity 2'!$D$5)^'Government Impact_baseline'!O$3*'Sensitivity 2'!$D$13</f>
        <v>78145.603686725808</v>
      </c>
      <c r="Q13" s="85">
        <f>+'Project Assumptions'!$D37*'Project Assumptions'!$E37*'Project Assumptions'!N37*(1+'Sensitivity 2'!$D$5)^'Government Impact_baseline'!P$3*'Sensitivity 2'!$D$13</f>
        <v>317271.15096810681</v>
      </c>
      <c r="R13" s="85">
        <v>0</v>
      </c>
      <c r="S13" s="85">
        <v>0</v>
      </c>
      <c r="T13" s="85">
        <v>0</v>
      </c>
      <c r="U13" s="85">
        <v>0</v>
      </c>
      <c r="V13" s="85">
        <v>0</v>
      </c>
      <c r="W13" s="85">
        <v>0</v>
      </c>
      <c r="X13" s="85">
        <v>0</v>
      </c>
      <c r="Y13" s="85">
        <v>0</v>
      </c>
      <c r="Z13" s="85">
        <v>0</v>
      </c>
      <c r="AA13" s="85">
        <v>0</v>
      </c>
    </row>
    <row r="14" spans="1:27" hidden="1" outlineLevel="1" x14ac:dyDescent="0.35">
      <c r="B14" s="133" t="str">
        <f>+'Project Assumptions'!B38</f>
        <v>12-row planter</v>
      </c>
      <c r="C14" s="85">
        <f>+'Project Assumptions'!$D38*'Project Assumptions'!$E38*'Project Assumptions'!G38*'Sensitivity 2'!$D$13</f>
        <v>0</v>
      </c>
      <c r="D14" s="85">
        <f>+'Project Assumptions'!$D38*'Project Assumptions'!$E38*'Project Assumptions'!H38*(1+'Sensitivity 2'!$D$5)^'Government Impact_baseline'!D$3*'Sensitivity 2'!$D$13</f>
        <v>0</v>
      </c>
      <c r="E14" s="85">
        <f>+'Project Assumptions'!$D38*'Project Assumptions'!$E38*'Project Assumptions'!I38*(1+'Sensitivity 2'!$D$5)^'Government Impact_baseline'!E$3*'Sensitivity 2'!$D$13</f>
        <v>0</v>
      </c>
      <c r="F14" s="85">
        <f>+'Project Assumptions'!$D38*'Project Assumptions'!$E38*'Project Assumptions'!J38*(1+'Sensitivity 2'!$D$5)^'Government Impact_baseline'!F$3*'Sensitivity 2'!$D$13</f>
        <v>93525.473859999969</v>
      </c>
      <c r="G14" s="85">
        <f>+'Project Assumptions'!$D38*'Project Assumptions'!$E38*'Project Assumptions'!K38*(1+'Sensitivity 2'!$D$5)^'Government Impact_baseline'!G$3*'Sensitivity 2'!$D$13</f>
        <v>379713.42387159978</v>
      </c>
      <c r="H14" s="85">
        <v>0</v>
      </c>
      <c r="I14" s="85">
        <v>0</v>
      </c>
      <c r="J14" s="85">
        <v>0</v>
      </c>
      <c r="K14" s="85">
        <v>0</v>
      </c>
      <c r="L14" s="85">
        <v>0</v>
      </c>
      <c r="M14" s="85">
        <v>0</v>
      </c>
      <c r="N14" s="85">
        <v>0</v>
      </c>
      <c r="O14" s="85">
        <v>0</v>
      </c>
      <c r="P14" s="85">
        <f>+'Project Assumptions'!$D38*'Project Assumptions'!$E38*'Project Assumptions'!M38*(1+'Sensitivity 2'!$D$5)^'Government Impact_baseline'!O$3*'Sensitivity 2'!$D$13</f>
        <v>106936.08925551953</v>
      </c>
      <c r="Q14" s="85">
        <f>+'Project Assumptions'!$D38*'Project Assumptions'!$E38*'Project Assumptions'!N38*(1+'Sensitivity 2'!$D$5)^'Government Impact_baseline'!P$3*'Sensitivity 2'!$D$13</f>
        <v>434160.52237740927</v>
      </c>
      <c r="R14" s="85">
        <v>0</v>
      </c>
      <c r="S14" s="85">
        <v>0</v>
      </c>
      <c r="T14" s="85">
        <v>0</v>
      </c>
      <c r="U14" s="85">
        <v>0</v>
      </c>
      <c r="V14" s="85">
        <v>0</v>
      </c>
      <c r="W14" s="85">
        <v>0</v>
      </c>
      <c r="X14" s="85">
        <v>0</v>
      </c>
      <c r="Y14" s="85">
        <v>0</v>
      </c>
      <c r="Z14" s="85">
        <v>0</v>
      </c>
      <c r="AA14" s="85">
        <v>0</v>
      </c>
    </row>
    <row r="15" spans="1:27" hidden="1" outlineLevel="1" x14ac:dyDescent="0.35">
      <c r="B15" s="133" t="str">
        <f>+'Project Assumptions'!B39</f>
        <v>Manure spreader</v>
      </c>
      <c r="C15" s="85">
        <f>+'Project Assumptions'!$D39*'Project Assumptions'!$E39*'Project Assumptions'!G39*'Sensitivity 2'!$D$13</f>
        <v>0</v>
      </c>
      <c r="D15" s="85">
        <f>+'Project Assumptions'!$D39*'Project Assumptions'!$E39*'Project Assumptions'!H39*(1+'Sensitivity 2'!$D$5)^'Government Impact_baseline'!D$3*'Sensitivity 2'!$D$13</f>
        <v>0</v>
      </c>
      <c r="E15" s="85">
        <f>+'Project Assumptions'!$D39*'Project Assumptions'!$E39*'Project Assumptions'!I39*(1+'Sensitivity 2'!$D$5)^'Government Impact_baseline'!E$3*'Sensitivity 2'!$D$13</f>
        <v>0</v>
      </c>
      <c r="F15" s="85">
        <f>+'Project Assumptions'!$D39*'Project Assumptions'!$E39*'Project Assumptions'!J39*(1+'Sensitivity 2'!$D$5)^'Government Impact_baseline'!F$3*'Sensitivity 2'!$D$13</f>
        <v>46762.736929999985</v>
      </c>
      <c r="G15" s="85">
        <f>+'Project Assumptions'!$D39*'Project Assumptions'!$E39*'Project Assumptions'!K39*(1+'Sensitivity 2'!$D$5)^'Government Impact_baseline'!G$3*'Sensitivity 2'!$D$13</f>
        <v>189856.71193579989</v>
      </c>
      <c r="H15" s="85">
        <v>0</v>
      </c>
      <c r="I15" s="85">
        <v>0</v>
      </c>
      <c r="J15" s="85">
        <v>0</v>
      </c>
      <c r="K15" s="85">
        <v>0</v>
      </c>
      <c r="L15" s="85">
        <v>0</v>
      </c>
      <c r="M15" s="85">
        <v>0</v>
      </c>
      <c r="N15" s="85">
        <v>0</v>
      </c>
      <c r="O15" s="85">
        <v>0</v>
      </c>
      <c r="P15" s="85">
        <f>+'Project Assumptions'!$D39*'Project Assumptions'!$E39*'Project Assumptions'!M39*(1+'Sensitivity 2'!$D$5)^'Government Impact_baseline'!O$3*'Sensitivity 2'!$D$13</f>
        <v>53468.044627759766</v>
      </c>
      <c r="Q15" s="85">
        <f>+'Project Assumptions'!$D39*'Project Assumptions'!$E39*'Project Assumptions'!N39*(1+'Sensitivity 2'!$D$5)^'Government Impact_baseline'!P$3*'Sensitivity 2'!$D$13</f>
        <v>217080.26118870464</v>
      </c>
      <c r="R15" s="85">
        <v>0</v>
      </c>
      <c r="S15" s="85">
        <v>0</v>
      </c>
      <c r="T15" s="85">
        <v>0</v>
      </c>
      <c r="U15" s="85">
        <v>0</v>
      </c>
      <c r="V15" s="85">
        <v>0</v>
      </c>
      <c r="W15" s="85">
        <v>0</v>
      </c>
      <c r="X15" s="85">
        <v>0</v>
      </c>
      <c r="Y15" s="85">
        <v>0</v>
      </c>
      <c r="Z15" s="85">
        <v>0</v>
      </c>
      <c r="AA15" s="85">
        <v>0</v>
      </c>
    </row>
    <row r="16" spans="1:27" hidden="1" outlineLevel="1" x14ac:dyDescent="0.35">
      <c r="B16" s="133" t="str">
        <f>+'Project Assumptions'!B40</f>
        <v>Harvesters</v>
      </c>
      <c r="C16" s="85">
        <f>+'Project Assumptions'!$D40*'Project Assumptions'!$E40*'Project Assumptions'!G40*'Sensitivity 2'!$D$13</f>
        <v>0</v>
      </c>
      <c r="D16" s="85">
        <f>+'Project Assumptions'!$D40*'Project Assumptions'!$E40*'Project Assumptions'!H40*(1+'Sensitivity 2'!$D$5)^'Government Impact_baseline'!D$3*'Sensitivity 2'!$D$13</f>
        <v>0</v>
      </c>
      <c r="E16" s="85">
        <f>+'Project Assumptions'!$D40*'Project Assumptions'!$E40*'Project Assumptions'!I40*(1+'Sensitivity 2'!$D$5)^'Government Impact_baseline'!E$3*'Sensitivity 2'!$D$13</f>
        <v>0</v>
      </c>
      <c r="F16" s="85">
        <f>+'Project Assumptions'!$D40*'Project Assumptions'!$E40*'Project Assumptions'!J40*(1+'Sensitivity 2'!$D$5)^'Government Impact_baseline'!F$3*'Sensitivity 2'!$D$13</f>
        <v>302159.2232399999</v>
      </c>
      <c r="G16" s="85">
        <f>+'Project Assumptions'!$D40*'Project Assumptions'!$E40*'Project Assumptions'!K40*(1+'Sensitivity 2'!$D$5)^'Government Impact_baseline'!G$3*'Sensitivity 2'!$D$13</f>
        <v>1226766.4463543994</v>
      </c>
      <c r="H16" s="85">
        <v>0</v>
      </c>
      <c r="I16" s="85">
        <v>0</v>
      </c>
      <c r="J16" s="85">
        <v>0</v>
      </c>
      <c r="K16" s="85">
        <v>0</v>
      </c>
      <c r="L16" s="85">
        <v>0</v>
      </c>
      <c r="M16" s="85">
        <v>0</v>
      </c>
      <c r="N16" s="85">
        <v>0</v>
      </c>
      <c r="O16" s="85">
        <v>0</v>
      </c>
      <c r="P16" s="85">
        <f>+'Project Assumptions'!$D40*'Project Assumptions'!$E40*'Project Assumptions'!M40*(1+'Sensitivity 2'!$D$5)^'Government Impact_baseline'!O$3*'Sensitivity 2'!$D$13</f>
        <v>345485.82682552468</v>
      </c>
      <c r="Q16" s="85">
        <f>+'Project Assumptions'!$D40*'Project Assumptions'!$E40*'Project Assumptions'!N40*(1+'Sensitivity 2'!$D$5)^'Government Impact_baseline'!P$3*'Sensitivity 2'!$D$13</f>
        <v>1402672.45691163</v>
      </c>
      <c r="R16" s="85">
        <v>0</v>
      </c>
      <c r="S16" s="85">
        <v>0</v>
      </c>
      <c r="T16" s="85">
        <v>0</v>
      </c>
      <c r="U16" s="85">
        <v>0</v>
      </c>
      <c r="V16" s="85">
        <v>0</v>
      </c>
      <c r="W16" s="85">
        <v>0</v>
      </c>
      <c r="X16" s="85">
        <v>0</v>
      </c>
      <c r="Y16" s="85">
        <v>0</v>
      </c>
      <c r="Z16" s="85">
        <v>0</v>
      </c>
      <c r="AA16" s="85">
        <v>0</v>
      </c>
    </row>
    <row r="17" spans="2:27" x14ac:dyDescent="0.35">
      <c r="B17" s="3" t="s">
        <v>122</v>
      </c>
      <c r="C17" s="83">
        <f t="shared" ref="C17:Z17" si="7">C18+C19</f>
        <v>1875000</v>
      </c>
      <c r="D17" s="83">
        <f t="shared" si="7"/>
        <v>2471524.9999999995</v>
      </c>
      <c r="E17" s="83">
        <f t="shared" si="7"/>
        <v>4422240.8124999991</v>
      </c>
      <c r="F17" s="83">
        <f t="shared" si="7"/>
        <v>5668204.1995249977</v>
      </c>
      <c r="G17" s="132">
        <f t="shared" si="7"/>
        <v>3930972.1824498107</v>
      </c>
      <c r="H17" s="83">
        <f t="shared" si="7"/>
        <v>0</v>
      </c>
      <c r="I17" s="83">
        <f t="shared" si="7"/>
        <v>0</v>
      </c>
      <c r="J17" s="83">
        <f t="shared" si="7"/>
        <v>0</v>
      </c>
      <c r="K17" s="83">
        <f t="shared" si="7"/>
        <v>0</v>
      </c>
      <c r="L17" s="83">
        <f t="shared" si="7"/>
        <v>0</v>
      </c>
      <c r="M17" s="83">
        <f t="shared" si="7"/>
        <v>0</v>
      </c>
      <c r="N17" s="83">
        <f t="shared" si="7"/>
        <v>0</v>
      </c>
      <c r="O17" s="83">
        <f t="shared" si="7"/>
        <v>0</v>
      </c>
      <c r="P17" s="83">
        <f t="shared" si="7"/>
        <v>0</v>
      </c>
      <c r="Q17" s="83">
        <f t="shared" si="7"/>
        <v>0</v>
      </c>
      <c r="R17" s="83">
        <f t="shared" si="7"/>
        <v>0</v>
      </c>
      <c r="S17" s="83">
        <f t="shared" si="7"/>
        <v>0</v>
      </c>
      <c r="T17" s="83">
        <f t="shared" si="7"/>
        <v>0</v>
      </c>
      <c r="U17" s="83">
        <f t="shared" si="7"/>
        <v>0</v>
      </c>
      <c r="V17" s="83">
        <f t="shared" si="7"/>
        <v>0</v>
      </c>
      <c r="W17" s="83">
        <f t="shared" si="7"/>
        <v>0</v>
      </c>
      <c r="X17" s="83">
        <f t="shared" si="7"/>
        <v>0</v>
      </c>
      <c r="Y17" s="83">
        <f t="shared" si="7"/>
        <v>0</v>
      </c>
      <c r="Z17" s="83">
        <f t="shared" si="7"/>
        <v>0</v>
      </c>
      <c r="AA17" s="83">
        <f t="shared" ref="AA17" si="8">AA18+AA19</f>
        <v>0</v>
      </c>
    </row>
    <row r="18" spans="2:27" x14ac:dyDescent="0.35">
      <c r="B18" s="69" t="s">
        <v>100</v>
      </c>
      <c r="C18" s="85">
        <f>'Project Cash Flows'!C$16</f>
        <v>1875000</v>
      </c>
      <c r="D18" s="85">
        <f>'Project Cash Flows'!D$16</f>
        <v>0</v>
      </c>
      <c r="E18" s="85">
        <f>'Project Cash Flows'!E$16</f>
        <v>0</v>
      </c>
      <c r="F18" s="85">
        <f>'Project Cash Flows'!F$16</f>
        <v>0</v>
      </c>
      <c r="G18" s="85">
        <f>'Project Cash Flows'!G$16</f>
        <v>0</v>
      </c>
      <c r="H18" s="85">
        <f>'Project Cash Flows'!H$16</f>
        <v>0</v>
      </c>
      <c r="I18" s="85">
        <f>'Project Cash Flows'!I$16</f>
        <v>0</v>
      </c>
      <c r="J18" s="85">
        <f>'Project Cash Flows'!J$16</f>
        <v>0</v>
      </c>
      <c r="K18" s="85">
        <f>'Project Cash Flows'!K$16</f>
        <v>0</v>
      </c>
      <c r="L18" s="85">
        <f>'Project Cash Flows'!L$16</f>
        <v>0</v>
      </c>
      <c r="M18" s="85">
        <f>'Project Cash Flows'!M$16</f>
        <v>0</v>
      </c>
      <c r="N18" s="85">
        <f>'Project Cash Flows'!N$16</f>
        <v>0</v>
      </c>
      <c r="O18" s="85">
        <f>'Project Cash Flows'!O$16</f>
        <v>0</v>
      </c>
      <c r="P18" s="85">
        <f>'Project Cash Flows'!P$16</f>
        <v>0</v>
      </c>
      <c r="Q18" s="85">
        <f>'Project Cash Flows'!Q$16</f>
        <v>0</v>
      </c>
      <c r="R18" s="85">
        <f>'Project Cash Flows'!R$16</f>
        <v>0</v>
      </c>
      <c r="S18" s="85">
        <f>'Project Cash Flows'!S$16</f>
        <v>0</v>
      </c>
      <c r="T18" s="85">
        <f>'Project Cash Flows'!T$16</f>
        <v>0</v>
      </c>
      <c r="U18" s="85">
        <f>'Project Cash Flows'!U$16</f>
        <v>0</v>
      </c>
      <c r="V18" s="85">
        <f>'Project Cash Flows'!V$16</f>
        <v>0</v>
      </c>
      <c r="W18" s="85">
        <f>'Project Cash Flows'!W$16</f>
        <v>0</v>
      </c>
      <c r="X18" s="85">
        <f>'Project Cash Flows'!X$16</f>
        <v>0</v>
      </c>
      <c r="Y18" s="85">
        <f>'Project Cash Flows'!Y$16</f>
        <v>0</v>
      </c>
      <c r="Z18" s="85">
        <f>'Project Cash Flows'!Z$16</f>
        <v>0</v>
      </c>
      <c r="AA18" s="85">
        <f>'Project Cash Flows'!AA$16</f>
        <v>0</v>
      </c>
    </row>
    <row r="19" spans="2:27" collapsed="1" x14ac:dyDescent="0.35">
      <c r="B19" s="69" t="s">
        <v>103</v>
      </c>
      <c r="C19" s="85">
        <f t="shared" ref="C19:AA19" si="9">+SUM(C20:C31)</f>
        <v>0</v>
      </c>
      <c r="D19" s="85">
        <f t="shared" si="9"/>
        <v>2471524.9999999995</v>
      </c>
      <c r="E19" s="85">
        <f t="shared" si="9"/>
        <v>4422240.8124999991</v>
      </c>
      <c r="F19" s="85">
        <f t="shared" si="9"/>
        <v>5668204.1995249977</v>
      </c>
      <c r="G19" s="85">
        <f t="shared" si="9"/>
        <v>3930972.1824498107</v>
      </c>
      <c r="H19" s="85">
        <f t="shared" si="9"/>
        <v>0</v>
      </c>
      <c r="I19" s="85">
        <v>0</v>
      </c>
      <c r="J19" s="85">
        <v>0</v>
      </c>
      <c r="K19" s="85">
        <v>0</v>
      </c>
      <c r="L19" s="85">
        <v>0</v>
      </c>
      <c r="M19" s="85">
        <v>0</v>
      </c>
      <c r="N19" s="85">
        <v>0</v>
      </c>
      <c r="O19" s="85">
        <f t="shared" si="9"/>
        <v>0</v>
      </c>
      <c r="P19" s="85">
        <f t="shared" si="9"/>
        <v>0</v>
      </c>
      <c r="Q19" s="85">
        <f t="shared" si="9"/>
        <v>0</v>
      </c>
      <c r="R19" s="85">
        <f t="shared" si="9"/>
        <v>0</v>
      </c>
      <c r="S19" s="85">
        <f t="shared" si="9"/>
        <v>0</v>
      </c>
      <c r="T19" s="85">
        <f t="shared" si="9"/>
        <v>0</v>
      </c>
      <c r="U19" s="85">
        <f t="shared" si="9"/>
        <v>0</v>
      </c>
      <c r="V19" s="85">
        <f t="shared" si="9"/>
        <v>0</v>
      </c>
      <c r="W19" s="85">
        <f t="shared" si="9"/>
        <v>0</v>
      </c>
      <c r="X19" s="85">
        <f t="shared" si="9"/>
        <v>0</v>
      </c>
      <c r="Y19" s="85">
        <f t="shared" si="9"/>
        <v>0</v>
      </c>
      <c r="Z19" s="85">
        <f t="shared" si="9"/>
        <v>0</v>
      </c>
      <c r="AA19" s="85">
        <f t="shared" si="9"/>
        <v>0</v>
      </c>
    </row>
    <row r="20" spans="2:27" hidden="1" outlineLevel="1" x14ac:dyDescent="0.35">
      <c r="B20" s="126" t="str">
        <f>+'Project Assumptions'!B15</f>
        <v>Land adquisition</v>
      </c>
      <c r="C20" s="85">
        <f>+'Project Assumptions'!$D15*'Project Assumptions'!$E15*'Project Assumptions'!G15</f>
        <v>0</v>
      </c>
      <c r="D20" s="85">
        <f>+'Project Assumptions'!$D15*'Project Assumptions'!$E15*'Project Assumptions'!H15*(1+'Sensitivity 2'!$D$5)^'Government Impact_baseline'!D$3</f>
        <v>2029999.9999999998</v>
      </c>
      <c r="E20" s="85">
        <f>+'Project Assumptions'!$D15*'Project Assumptions'!$E15*'Project Assumptions'!I15*(1+'Sensitivity 2'!$D$5)^'Government Impact_baseline'!E$3</f>
        <v>0</v>
      </c>
      <c r="F20" s="85">
        <f>+'Project Assumptions'!$D15*'Project Assumptions'!$E15*'Project Assumptions'!J15*(1+'Sensitivity 2'!$D$5)^'Government Impact_baseline'!F$3</f>
        <v>0</v>
      </c>
      <c r="G20" s="85">
        <f>+'Project Assumptions'!$D15*'Project Assumptions'!$E15*'Project Assumptions'!K15*(1+'Sensitivity 2'!$D$5)^'Government Impact_baseline'!G$3</f>
        <v>0</v>
      </c>
      <c r="H20" s="85">
        <f>+'Project Assumptions'!$D15*'Project Assumptions'!$E15*'Project Assumptions'!L15*(1+'Sensitivity 2'!$D$5)^'Government Impact_baseline'!H$3</f>
        <v>0</v>
      </c>
      <c r="I20" s="85">
        <v>0</v>
      </c>
      <c r="J20" s="85">
        <v>0</v>
      </c>
      <c r="K20" s="85">
        <v>0</v>
      </c>
      <c r="L20" s="85">
        <v>0</v>
      </c>
      <c r="M20" s="85">
        <v>0</v>
      </c>
      <c r="N20" s="85">
        <v>0</v>
      </c>
      <c r="O20" s="85">
        <f>+'Project Assumptions'!$D15*'Project Assumptions'!$E15*'Project Assumptions'!S15*(1+'Sensitivity 2'!$D$5)^'Government Impact_baseline'!O$3</f>
        <v>0</v>
      </c>
      <c r="P20" s="85">
        <f>+'Project Assumptions'!$D15*'Project Assumptions'!$E15*'Project Assumptions'!T15*(1+'Sensitivity 2'!$D$5)^'Government Impact_baseline'!P$3</f>
        <v>0</v>
      </c>
      <c r="Q20" s="85">
        <f>+'Project Assumptions'!$D15*'Project Assumptions'!$E15*'Project Assumptions'!U15*(1+'Sensitivity 2'!$D$5)^'Government Impact_baseline'!Q$3</f>
        <v>0</v>
      </c>
      <c r="R20" s="85">
        <f>+'Project Assumptions'!$D15*'Project Assumptions'!$E15*'Project Assumptions'!V15*(1+'Sensitivity 2'!$D$5)^'Government Impact_baseline'!R$3</f>
        <v>0</v>
      </c>
      <c r="S20" s="85">
        <f>+'Project Assumptions'!$D15*'Project Assumptions'!$E15*'Project Assumptions'!W15*(1+'Sensitivity 2'!$D$5)^'Government Impact_baseline'!S$3</f>
        <v>0</v>
      </c>
      <c r="T20" s="85">
        <f>+'Project Assumptions'!$D15*'Project Assumptions'!$E15*'Project Assumptions'!X15*(1+'Sensitivity 2'!$D$5)^'Government Impact_baseline'!T$3</f>
        <v>0</v>
      </c>
      <c r="U20" s="85">
        <f>+'Project Assumptions'!$D15*'Project Assumptions'!$E15*'Project Assumptions'!Y15*(1+'Sensitivity 2'!$D$5)^'Government Impact_baseline'!U$3</f>
        <v>0</v>
      </c>
      <c r="V20" s="85">
        <f>+'Project Assumptions'!$D15*'Project Assumptions'!$E15*'Project Assumptions'!Z15*(1+'Sensitivity 2'!$D$5)^'Government Impact_baseline'!V$3</f>
        <v>0</v>
      </c>
      <c r="W20" s="85">
        <f>+'Project Assumptions'!$D15*'Project Assumptions'!$E15*'Project Assumptions'!AA15*(1+'Sensitivity 2'!$D$5)^'Government Impact_baseline'!W$3</f>
        <v>0</v>
      </c>
      <c r="X20" s="85">
        <f>+'Project Assumptions'!$D15*'Project Assumptions'!$E15*'Project Assumptions'!AB15*(1+'Sensitivity 2'!$D$5)^'Government Impact_baseline'!X$3</f>
        <v>0</v>
      </c>
      <c r="Y20" s="85">
        <f>+'Project Assumptions'!$D15*'Project Assumptions'!$E15*'Project Assumptions'!AC15*(1+'Sensitivity 2'!$D$5)^'Government Impact_baseline'!Y$3</f>
        <v>0</v>
      </c>
      <c r="Z20" s="85">
        <f>+'Project Assumptions'!$D15*'Project Assumptions'!$E15*'Project Assumptions'!AD15*(1+'Sensitivity 2'!$D$5)^'Government Impact_baseline'!Z$3</f>
        <v>0</v>
      </c>
      <c r="AA20" s="85">
        <f>+'Project Assumptions'!$D15*'Project Assumptions'!$E15*'Project Assumptions'!AE15*(1+'Sensitivity 2'!$D$5)^'Government Impact_baseline'!AA$3</f>
        <v>0</v>
      </c>
    </row>
    <row r="21" spans="2:27" hidden="1" outlineLevel="1" x14ac:dyDescent="0.35">
      <c r="B21" s="126" t="str">
        <f>+'Project Assumptions'!B16</f>
        <v>Land clearing</v>
      </c>
      <c r="C21" s="85">
        <f>+'Project Assumptions'!$D16*'Project Assumptions'!$E16*'Project Assumptions'!G16</f>
        <v>0</v>
      </c>
      <c r="D21" s="85">
        <f>+'Project Assumptions'!$D16*'Project Assumptions'!$E16*'Project Assumptions'!H16*(1+'Sensitivity 2'!$D$5)^'Government Impact_baseline'!D$3</f>
        <v>30449.999999999996</v>
      </c>
      <c r="E21" s="85">
        <f>+'Project Assumptions'!$D16*'Project Assumptions'!$E16*'Project Assumptions'!I16*(1+'Sensitivity 2'!$D$5)^'Government Impact_baseline'!E$3</f>
        <v>30906.749999999993</v>
      </c>
      <c r="F21" s="85">
        <f>+'Project Assumptions'!$D16*'Project Assumptions'!$E16*'Project Assumptions'!J16*(1+'Sensitivity 2'!$D$5)^'Government Impact_baseline'!F$3</f>
        <v>0</v>
      </c>
      <c r="G21" s="85">
        <f>+'Project Assumptions'!$D16*'Project Assumptions'!$E16*'Project Assumptions'!K16*(1+'Sensitivity 2'!$D$5)^'Government Impact_baseline'!G$3</f>
        <v>0</v>
      </c>
      <c r="H21" s="85">
        <f>+'Project Assumptions'!$D16*'Project Assumptions'!$E16*'Project Assumptions'!L16*(1+'Sensitivity 2'!$D$5)^'Government Impact_baseline'!H$3</f>
        <v>0</v>
      </c>
      <c r="I21" s="85">
        <v>0</v>
      </c>
      <c r="J21" s="85">
        <v>0</v>
      </c>
      <c r="K21" s="85">
        <v>0</v>
      </c>
      <c r="L21" s="85">
        <v>0</v>
      </c>
      <c r="M21" s="85">
        <v>0</v>
      </c>
      <c r="N21" s="85">
        <v>0</v>
      </c>
      <c r="O21" s="85">
        <f>+'Project Assumptions'!$D16*'Project Assumptions'!$E16*'Project Assumptions'!S16*(1+'Sensitivity 2'!$D$5)^'Government Impact_baseline'!O$3</f>
        <v>0</v>
      </c>
      <c r="P21" s="85">
        <f>+'Project Assumptions'!$D16*'Project Assumptions'!$E16*'Project Assumptions'!T16*(1+'Sensitivity 2'!$D$5)^'Government Impact_baseline'!P$3</f>
        <v>0</v>
      </c>
      <c r="Q21" s="85">
        <f>+'Project Assumptions'!$D16*'Project Assumptions'!$E16*'Project Assumptions'!U16*(1+'Sensitivity 2'!$D$5)^'Government Impact_baseline'!Q$3</f>
        <v>0</v>
      </c>
      <c r="R21" s="85">
        <f>+'Project Assumptions'!$D16*'Project Assumptions'!$E16*'Project Assumptions'!V16*(1+'Sensitivity 2'!$D$5)^'Government Impact_baseline'!R$3</f>
        <v>0</v>
      </c>
      <c r="S21" s="85">
        <f>+'Project Assumptions'!$D16*'Project Assumptions'!$E16*'Project Assumptions'!W16*(1+'Sensitivity 2'!$D$5)^'Government Impact_baseline'!S$3</f>
        <v>0</v>
      </c>
      <c r="T21" s="85">
        <f>+'Project Assumptions'!$D16*'Project Assumptions'!$E16*'Project Assumptions'!X16*(1+'Sensitivity 2'!$D$5)^'Government Impact_baseline'!T$3</f>
        <v>0</v>
      </c>
      <c r="U21" s="85">
        <f>+'Project Assumptions'!$D16*'Project Assumptions'!$E16*'Project Assumptions'!Y16*(1+'Sensitivity 2'!$D$5)^'Government Impact_baseline'!U$3</f>
        <v>0</v>
      </c>
      <c r="V21" s="85">
        <f>+'Project Assumptions'!$D16*'Project Assumptions'!$E16*'Project Assumptions'!Z16*(1+'Sensitivity 2'!$D$5)^'Government Impact_baseline'!V$3</f>
        <v>0</v>
      </c>
      <c r="W21" s="85">
        <f>+'Project Assumptions'!$D16*'Project Assumptions'!$E16*'Project Assumptions'!AA16*(1+'Sensitivity 2'!$D$5)^'Government Impact_baseline'!W$3</f>
        <v>0</v>
      </c>
      <c r="X21" s="85">
        <f>+'Project Assumptions'!$D16*'Project Assumptions'!$E16*'Project Assumptions'!AB16*(1+'Sensitivity 2'!$D$5)^'Government Impact_baseline'!X$3</f>
        <v>0</v>
      </c>
      <c r="Y21" s="85">
        <f>+'Project Assumptions'!$D16*'Project Assumptions'!$E16*'Project Assumptions'!AC16*(1+'Sensitivity 2'!$D$5)^'Government Impact_baseline'!Y$3</f>
        <v>0</v>
      </c>
      <c r="Z21" s="85">
        <f>+'Project Assumptions'!$D16*'Project Assumptions'!$E16*'Project Assumptions'!AD16*(1+'Sensitivity 2'!$D$5)^'Government Impact_baseline'!Z$3</f>
        <v>0</v>
      </c>
      <c r="AA21" s="85">
        <f>+'Project Assumptions'!$D16*'Project Assumptions'!$E16*'Project Assumptions'!AE16*(1+'Sensitivity 2'!$D$5)^'Government Impact_baseline'!AA$3</f>
        <v>0</v>
      </c>
    </row>
    <row r="22" spans="2:27" hidden="1" outlineLevel="1" x14ac:dyDescent="0.35">
      <c r="B22" s="126" t="str">
        <f>+'Project Assumptions'!B17</f>
        <v>Earth movement for dam</v>
      </c>
      <c r="C22" s="85">
        <f>+'Project Assumptions'!$D17*'Project Assumptions'!$E17*'Project Assumptions'!G17</f>
        <v>0</v>
      </c>
      <c r="D22" s="85">
        <f>+'Project Assumptions'!$D17*'Project Assumptions'!$E17*'Project Assumptions'!H17*(1+'Sensitivity 2'!$D$5)^'Government Impact_baseline'!D$3</f>
        <v>411074.99999999994</v>
      </c>
      <c r="E22" s="85">
        <f>+'Project Assumptions'!$D17*'Project Assumptions'!$E17*'Project Assumptions'!I17*(1+'Sensitivity 2'!$D$5)^'Government Impact_baseline'!E$3</f>
        <v>1808044.8749999995</v>
      </c>
      <c r="F22" s="85">
        <f>+'Project Assumptions'!$D17*'Project Assumptions'!$E17*'Project Assumptions'!J17*(1+'Sensitivity 2'!$D$5)^'Government Impact_baseline'!F$3</f>
        <v>564666.32249999978</v>
      </c>
      <c r="G22" s="85">
        <f>+'Project Assumptions'!$D17*'Project Assumptions'!$E17*'Project Assumptions'!K17*(1+'Sensitivity 2'!$D$5)^'Government Impact_baseline'!G$3</f>
        <v>0</v>
      </c>
      <c r="H22" s="85">
        <f>+'Project Assumptions'!$D17*'Project Assumptions'!$E17*'Project Assumptions'!L17*(1+'Sensitivity 2'!$D$5)^'Government Impact_baseline'!H$3</f>
        <v>0</v>
      </c>
      <c r="I22" s="85">
        <v>0</v>
      </c>
      <c r="J22" s="85">
        <v>0</v>
      </c>
      <c r="K22" s="85">
        <v>0</v>
      </c>
      <c r="L22" s="85">
        <v>0</v>
      </c>
      <c r="M22" s="85">
        <v>0</v>
      </c>
      <c r="N22" s="85">
        <v>0</v>
      </c>
      <c r="O22" s="85">
        <f>+'Project Assumptions'!$D17*'Project Assumptions'!$E17*'Project Assumptions'!S17*(1+'Sensitivity 2'!$D$5)^'Government Impact_baseline'!O$3</f>
        <v>0</v>
      </c>
      <c r="P22" s="85">
        <f>+'Project Assumptions'!$D17*'Project Assumptions'!$E17*'Project Assumptions'!T17*(1+'Sensitivity 2'!$D$5)^'Government Impact_baseline'!P$3</f>
        <v>0</v>
      </c>
      <c r="Q22" s="85">
        <f>+'Project Assumptions'!$D17*'Project Assumptions'!$E17*'Project Assumptions'!U17*(1+'Sensitivity 2'!$D$5)^'Government Impact_baseline'!Q$3</f>
        <v>0</v>
      </c>
      <c r="R22" s="85">
        <f>+'Project Assumptions'!$D17*'Project Assumptions'!$E17*'Project Assumptions'!V17*(1+'Sensitivity 2'!$D$5)^'Government Impact_baseline'!R$3</f>
        <v>0</v>
      </c>
      <c r="S22" s="85">
        <f>+'Project Assumptions'!$D17*'Project Assumptions'!$E17*'Project Assumptions'!W17*(1+'Sensitivity 2'!$D$5)^'Government Impact_baseline'!S$3</f>
        <v>0</v>
      </c>
      <c r="T22" s="85">
        <f>+'Project Assumptions'!$D17*'Project Assumptions'!$E17*'Project Assumptions'!X17*(1+'Sensitivity 2'!$D$5)^'Government Impact_baseline'!T$3</f>
        <v>0</v>
      </c>
      <c r="U22" s="85">
        <f>+'Project Assumptions'!$D17*'Project Assumptions'!$E17*'Project Assumptions'!Y17*(1+'Sensitivity 2'!$D$5)^'Government Impact_baseline'!U$3</f>
        <v>0</v>
      </c>
      <c r="V22" s="85">
        <f>+'Project Assumptions'!$D17*'Project Assumptions'!$E17*'Project Assumptions'!Z17*(1+'Sensitivity 2'!$D$5)^'Government Impact_baseline'!V$3</f>
        <v>0</v>
      </c>
      <c r="W22" s="85">
        <f>+'Project Assumptions'!$D17*'Project Assumptions'!$E17*'Project Assumptions'!AA17*(1+'Sensitivity 2'!$D$5)^'Government Impact_baseline'!W$3</f>
        <v>0</v>
      </c>
      <c r="X22" s="85">
        <f>+'Project Assumptions'!$D17*'Project Assumptions'!$E17*'Project Assumptions'!AB17*(1+'Sensitivity 2'!$D$5)^'Government Impact_baseline'!X$3</f>
        <v>0</v>
      </c>
      <c r="Y22" s="85">
        <f>+'Project Assumptions'!$D17*'Project Assumptions'!$E17*'Project Assumptions'!AC17*(1+'Sensitivity 2'!$D$5)^'Government Impact_baseline'!Y$3</f>
        <v>0</v>
      </c>
      <c r="Z22" s="85">
        <f>+'Project Assumptions'!$D17*'Project Assumptions'!$E17*'Project Assumptions'!AD17*(1+'Sensitivity 2'!$D$5)^'Government Impact_baseline'!Z$3</f>
        <v>0</v>
      </c>
      <c r="AA22" s="85">
        <f>+'Project Assumptions'!$D17*'Project Assumptions'!$E17*'Project Assumptions'!AE17*(1+'Sensitivity 2'!$D$5)^'Government Impact_baseline'!AA$3</f>
        <v>0</v>
      </c>
    </row>
    <row r="23" spans="2:27" hidden="1" outlineLevel="1" x14ac:dyDescent="0.35">
      <c r="B23" s="126" t="str">
        <f>+'Project Assumptions'!B18</f>
        <v>Dam structure (concrete)</v>
      </c>
      <c r="C23" s="85">
        <f>+'Project Assumptions'!$D18*'Project Assumptions'!$E18*'Project Assumptions'!G18</f>
        <v>0</v>
      </c>
      <c r="D23" s="85">
        <f>+'Project Assumptions'!$D18*'Project Assumptions'!$E18*'Project Assumptions'!H18*(1+'Sensitivity 2'!$D$5)^'Government Impact_baseline'!D$3</f>
        <v>0</v>
      </c>
      <c r="E23" s="85">
        <f>+'Project Assumptions'!$D18*'Project Assumptions'!$E18*'Project Assumptions'!I18*(1+'Sensitivity 2'!$D$5)^'Government Impact_baseline'!E$3</f>
        <v>2511173.4374999995</v>
      </c>
      <c r="F23" s="85">
        <f>+'Project Assumptions'!$D18*'Project Assumptions'!$E18*'Project Assumptions'!J18*(1+'Sensitivity 2'!$D$5)^'Government Impact_baseline'!F$3</f>
        <v>4587913.870312498</v>
      </c>
      <c r="G23" s="85">
        <f>+'Project Assumptions'!$D18*'Project Assumptions'!$E18*'Project Assumptions'!K18*(1+'Sensitivity 2'!$D$5)^'Government Impact_baseline'!G$3</f>
        <v>3104488.3855781234</v>
      </c>
      <c r="H23" s="85">
        <f>+'Project Assumptions'!$D18*'Project Assumptions'!$E18*'Project Assumptions'!L18*(1+'Sensitivity 2'!$D$5)^'Government Impact_baseline'!H$3</f>
        <v>0</v>
      </c>
      <c r="I23" s="85">
        <v>0</v>
      </c>
      <c r="J23" s="85">
        <v>0</v>
      </c>
      <c r="K23" s="85">
        <v>0</v>
      </c>
      <c r="L23" s="85">
        <v>0</v>
      </c>
      <c r="M23" s="85">
        <v>0</v>
      </c>
      <c r="N23" s="85">
        <v>0</v>
      </c>
      <c r="O23" s="85">
        <f>+'Project Assumptions'!$D18*'Project Assumptions'!$E18*'Project Assumptions'!S18*(1+'Sensitivity 2'!$D$5)^'Government Impact_baseline'!O$3</f>
        <v>0</v>
      </c>
      <c r="P23" s="85">
        <f>+'Project Assumptions'!$D18*'Project Assumptions'!$E18*'Project Assumptions'!T18*(1+'Sensitivity 2'!$D$5)^'Government Impact_baseline'!P$3</f>
        <v>0</v>
      </c>
      <c r="Q23" s="85">
        <f>+'Project Assumptions'!$D18*'Project Assumptions'!$E18*'Project Assumptions'!U18*(1+'Sensitivity 2'!$D$5)^'Government Impact_baseline'!Q$3</f>
        <v>0</v>
      </c>
      <c r="R23" s="85">
        <f>+'Project Assumptions'!$D18*'Project Assumptions'!$E18*'Project Assumptions'!V18*(1+'Sensitivity 2'!$D$5)^'Government Impact_baseline'!R$3</f>
        <v>0</v>
      </c>
      <c r="S23" s="85">
        <f>+'Project Assumptions'!$D18*'Project Assumptions'!$E18*'Project Assumptions'!W18*(1+'Sensitivity 2'!$D$5)^'Government Impact_baseline'!S$3</f>
        <v>0</v>
      </c>
      <c r="T23" s="85">
        <f>+'Project Assumptions'!$D18*'Project Assumptions'!$E18*'Project Assumptions'!X18*(1+'Sensitivity 2'!$D$5)^'Government Impact_baseline'!T$3</f>
        <v>0</v>
      </c>
      <c r="U23" s="85">
        <f>+'Project Assumptions'!$D18*'Project Assumptions'!$E18*'Project Assumptions'!Y18*(1+'Sensitivity 2'!$D$5)^'Government Impact_baseline'!U$3</f>
        <v>0</v>
      </c>
      <c r="V23" s="85">
        <f>+'Project Assumptions'!$D18*'Project Assumptions'!$E18*'Project Assumptions'!Z18*(1+'Sensitivity 2'!$D$5)^'Government Impact_baseline'!V$3</f>
        <v>0</v>
      </c>
      <c r="W23" s="85">
        <f>+'Project Assumptions'!$D18*'Project Assumptions'!$E18*'Project Assumptions'!AA18*(1+'Sensitivity 2'!$D$5)^'Government Impact_baseline'!W$3</f>
        <v>0</v>
      </c>
      <c r="X23" s="85">
        <f>+'Project Assumptions'!$D18*'Project Assumptions'!$E18*'Project Assumptions'!AB18*(1+'Sensitivity 2'!$D$5)^'Government Impact_baseline'!X$3</f>
        <v>0</v>
      </c>
      <c r="Y23" s="85">
        <f>+'Project Assumptions'!$D18*'Project Assumptions'!$E18*'Project Assumptions'!AC18*(1+'Sensitivity 2'!$D$5)^'Government Impact_baseline'!Y$3</f>
        <v>0</v>
      </c>
      <c r="Z23" s="85">
        <f>+'Project Assumptions'!$D18*'Project Assumptions'!$E18*'Project Assumptions'!AD18*(1+'Sensitivity 2'!$D$5)^'Government Impact_baseline'!Z$3</f>
        <v>0</v>
      </c>
      <c r="AA23" s="85">
        <f>+'Project Assumptions'!$D18*'Project Assumptions'!$E18*'Project Assumptions'!AE18*(1+'Sensitivity 2'!$D$5)^'Government Impact_baseline'!AA$3</f>
        <v>0</v>
      </c>
    </row>
    <row r="24" spans="2:27" hidden="1" outlineLevel="1" x14ac:dyDescent="0.35">
      <c r="B24" s="126" t="str">
        <f>+'Project Assumptions'!B19</f>
        <v>Excavation for pipes</v>
      </c>
      <c r="C24" s="85">
        <f>+'Project Assumptions'!$D19*'Project Assumptions'!$E19*'Project Assumptions'!G19</f>
        <v>0</v>
      </c>
      <c r="D24" s="85">
        <f>+'Project Assumptions'!$D19*'Project Assumptions'!$E19*'Project Assumptions'!H19*(1+'Sensitivity 2'!$D$5)^'Government Impact_baseline'!D$3</f>
        <v>0</v>
      </c>
      <c r="E24" s="85">
        <f>+'Project Assumptions'!$D19*'Project Assumptions'!$E19*'Project Assumptions'!I19*(1+'Sensitivity 2'!$D$5)^'Government Impact_baseline'!E$3</f>
        <v>72115.749999999985</v>
      </c>
      <c r="F24" s="85">
        <f>+'Project Assumptions'!$D19*'Project Assumptions'!$E19*'Project Assumptions'!J19*(1+'Sensitivity 2'!$D$5)^'Government Impact_baseline'!F$3</f>
        <v>131755.47524999996</v>
      </c>
      <c r="G24" s="85">
        <f>+'Project Assumptions'!$D19*'Project Assumptions'!$E19*'Project Assumptions'!K19*(1+'Sensitivity 2'!$D$5)^'Government Impact_baseline'!G$3</f>
        <v>89154.538252499959</v>
      </c>
      <c r="H24" s="85">
        <f>+'Project Assumptions'!$D19*'Project Assumptions'!$E19*'Project Assumptions'!L19*(1+'Sensitivity 2'!$D$5)^'Government Impact_baseline'!H$3</f>
        <v>0</v>
      </c>
      <c r="I24" s="85">
        <v>0</v>
      </c>
      <c r="J24" s="85">
        <v>0</v>
      </c>
      <c r="K24" s="85">
        <v>0</v>
      </c>
      <c r="L24" s="85">
        <v>0</v>
      </c>
      <c r="M24" s="85">
        <v>0</v>
      </c>
      <c r="N24" s="85">
        <v>0</v>
      </c>
      <c r="O24" s="85">
        <f>+'Project Assumptions'!$D19*'Project Assumptions'!$E19*'Project Assumptions'!S19*(1+'Sensitivity 2'!$D$5)^'Government Impact_baseline'!O$3</f>
        <v>0</v>
      </c>
      <c r="P24" s="85">
        <f>+'Project Assumptions'!$D19*'Project Assumptions'!$E19*'Project Assumptions'!T19*(1+'Sensitivity 2'!$D$5)^'Government Impact_baseline'!P$3</f>
        <v>0</v>
      </c>
      <c r="Q24" s="85">
        <f>+'Project Assumptions'!$D19*'Project Assumptions'!$E19*'Project Assumptions'!U19*(1+'Sensitivity 2'!$D$5)^'Government Impact_baseline'!Q$3</f>
        <v>0</v>
      </c>
      <c r="R24" s="85">
        <f>+'Project Assumptions'!$D19*'Project Assumptions'!$E19*'Project Assumptions'!V19*(1+'Sensitivity 2'!$D$5)^'Government Impact_baseline'!R$3</f>
        <v>0</v>
      </c>
      <c r="S24" s="85">
        <f>+'Project Assumptions'!$D19*'Project Assumptions'!$E19*'Project Assumptions'!W19*(1+'Sensitivity 2'!$D$5)^'Government Impact_baseline'!S$3</f>
        <v>0</v>
      </c>
      <c r="T24" s="85">
        <f>+'Project Assumptions'!$D19*'Project Assumptions'!$E19*'Project Assumptions'!X19*(1+'Sensitivity 2'!$D$5)^'Government Impact_baseline'!T$3</f>
        <v>0</v>
      </c>
      <c r="U24" s="85">
        <f>+'Project Assumptions'!$D19*'Project Assumptions'!$E19*'Project Assumptions'!Y19*(1+'Sensitivity 2'!$D$5)^'Government Impact_baseline'!U$3</f>
        <v>0</v>
      </c>
      <c r="V24" s="85">
        <f>+'Project Assumptions'!$D19*'Project Assumptions'!$E19*'Project Assumptions'!Z19*(1+'Sensitivity 2'!$D$5)^'Government Impact_baseline'!V$3</f>
        <v>0</v>
      </c>
      <c r="W24" s="85">
        <f>+'Project Assumptions'!$D19*'Project Assumptions'!$E19*'Project Assumptions'!AA19*(1+'Sensitivity 2'!$D$5)^'Government Impact_baseline'!W$3</f>
        <v>0</v>
      </c>
      <c r="X24" s="85">
        <f>+'Project Assumptions'!$D19*'Project Assumptions'!$E19*'Project Assumptions'!AB19*(1+'Sensitivity 2'!$D$5)^'Government Impact_baseline'!X$3</f>
        <v>0</v>
      </c>
      <c r="Y24" s="85">
        <f>+'Project Assumptions'!$D19*'Project Assumptions'!$E19*'Project Assumptions'!AC19*(1+'Sensitivity 2'!$D$5)^'Government Impact_baseline'!Y$3</f>
        <v>0</v>
      </c>
      <c r="Z24" s="85">
        <f>+'Project Assumptions'!$D19*'Project Assumptions'!$E19*'Project Assumptions'!AD19*(1+'Sensitivity 2'!$D$5)^'Government Impact_baseline'!Z$3</f>
        <v>0</v>
      </c>
      <c r="AA24" s="85">
        <f>+'Project Assumptions'!$D19*'Project Assumptions'!$E19*'Project Assumptions'!AE19*(1+'Sensitivity 2'!$D$5)^'Government Impact_baseline'!AA$3</f>
        <v>0</v>
      </c>
    </row>
    <row r="25" spans="2:27" hidden="1" outlineLevel="1" x14ac:dyDescent="0.35">
      <c r="B25" s="126" t="str">
        <f>+'Project Assumptions'!B20</f>
        <v>Main pipes</v>
      </c>
      <c r="C25" s="85">
        <f>+'Project Assumptions'!$D20*'Project Assumptions'!$E20*'Project Assumptions'!G20</f>
        <v>0</v>
      </c>
      <c r="D25" s="85">
        <f>+'Project Assumptions'!$D20*'Project Assumptions'!$E20*'Project Assumptions'!H20*(1+'Sensitivity 2'!$D$5)^'Government Impact_baseline'!D$3</f>
        <v>0</v>
      </c>
      <c r="E25" s="85">
        <f>+'Project Assumptions'!$D20*'Project Assumptions'!$E20*'Project Assumptions'!I20*(1+'Sensitivity 2'!$D$5)^'Government Impact_baseline'!E$3</f>
        <v>0</v>
      </c>
      <c r="F25" s="85">
        <f>+'Project Assumptions'!$D20*'Project Assumptions'!$E20*'Project Assumptions'!J20*(1+'Sensitivity 2'!$D$5)^'Government Impact_baseline'!F$3</f>
        <v>210808.76039999991</v>
      </c>
      <c r="G25" s="85">
        <f>+'Project Assumptions'!$D20*'Project Assumptions'!$E20*'Project Assumptions'!K20*(1+'Sensitivity 2'!$D$5)^'Government Impact_baseline'!G$3</f>
        <v>499265.4142139997</v>
      </c>
      <c r="H25" s="85">
        <f>+'Project Assumptions'!$D20*'Project Assumptions'!$E20*'Project Assumptions'!L20*(1+'Sensitivity 2'!$D$5)^'Government Impact_baseline'!H$3</f>
        <v>0</v>
      </c>
      <c r="I25" s="85">
        <v>0</v>
      </c>
      <c r="J25" s="85">
        <v>0</v>
      </c>
      <c r="K25" s="85">
        <v>0</v>
      </c>
      <c r="L25" s="85">
        <v>0</v>
      </c>
      <c r="M25" s="85">
        <v>0</v>
      </c>
      <c r="N25" s="85">
        <v>0</v>
      </c>
      <c r="O25" s="85">
        <f>+'Project Assumptions'!$D20*'Project Assumptions'!$E20*'Project Assumptions'!S20*(1+'Sensitivity 2'!$D$5)^'Government Impact_baseline'!O$3</f>
        <v>0</v>
      </c>
      <c r="P25" s="85">
        <f>+'Project Assumptions'!$D20*'Project Assumptions'!$E20*'Project Assumptions'!T20*(1+'Sensitivity 2'!$D$5)^'Government Impact_baseline'!P$3</f>
        <v>0</v>
      </c>
      <c r="Q25" s="85">
        <f>+'Project Assumptions'!$D20*'Project Assumptions'!$E20*'Project Assumptions'!U20*(1+'Sensitivity 2'!$D$5)^'Government Impact_baseline'!Q$3</f>
        <v>0</v>
      </c>
      <c r="R25" s="85">
        <f>+'Project Assumptions'!$D20*'Project Assumptions'!$E20*'Project Assumptions'!V20*(1+'Sensitivity 2'!$D$5)^'Government Impact_baseline'!R$3</f>
        <v>0</v>
      </c>
      <c r="S25" s="85">
        <f>+'Project Assumptions'!$D20*'Project Assumptions'!$E20*'Project Assumptions'!W20*(1+'Sensitivity 2'!$D$5)^'Government Impact_baseline'!S$3</f>
        <v>0</v>
      </c>
      <c r="T25" s="85">
        <f>+'Project Assumptions'!$D20*'Project Assumptions'!$E20*'Project Assumptions'!X20*(1+'Sensitivity 2'!$D$5)^'Government Impact_baseline'!T$3</f>
        <v>0</v>
      </c>
      <c r="U25" s="85">
        <f>+'Project Assumptions'!$D20*'Project Assumptions'!$E20*'Project Assumptions'!Y20*(1+'Sensitivity 2'!$D$5)^'Government Impact_baseline'!U$3</f>
        <v>0</v>
      </c>
      <c r="V25" s="85">
        <f>+'Project Assumptions'!$D20*'Project Assumptions'!$E20*'Project Assumptions'!Z20*(1+'Sensitivity 2'!$D$5)^'Government Impact_baseline'!V$3</f>
        <v>0</v>
      </c>
      <c r="W25" s="85">
        <f>+'Project Assumptions'!$D20*'Project Assumptions'!$E20*'Project Assumptions'!AA20*(1+'Sensitivity 2'!$D$5)^'Government Impact_baseline'!W$3</f>
        <v>0</v>
      </c>
      <c r="X25" s="85">
        <f>+'Project Assumptions'!$D20*'Project Assumptions'!$E20*'Project Assumptions'!AB20*(1+'Sensitivity 2'!$D$5)^'Government Impact_baseline'!X$3</f>
        <v>0</v>
      </c>
      <c r="Y25" s="85">
        <f>+'Project Assumptions'!$D20*'Project Assumptions'!$E20*'Project Assumptions'!AC20*(1+'Sensitivity 2'!$D$5)^'Government Impact_baseline'!Y$3</f>
        <v>0</v>
      </c>
      <c r="Z25" s="85">
        <f>+'Project Assumptions'!$D20*'Project Assumptions'!$E20*'Project Assumptions'!AD20*(1+'Sensitivity 2'!$D$5)^'Government Impact_baseline'!Z$3</f>
        <v>0</v>
      </c>
      <c r="AA25" s="85">
        <f>+'Project Assumptions'!$D20*'Project Assumptions'!$E20*'Project Assumptions'!AE20*(1+'Sensitivity 2'!$D$5)^'Government Impact_baseline'!AA$3</f>
        <v>0</v>
      </c>
    </row>
    <row r="26" spans="2:27" hidden="1" outlineLevel="1" x14ac:dyDescent="0.35">
      <c r="B26" s="126" t="str">
        <f>+'Project Assumptions'!B21</f>
        <v>Floodgates</v>
      </c>
      <c r="C26" s="85">
        <f>+'Project Assumptions'!$D21*'Project Assumptions'!$E21*'Project Assumptions'!G21</f>
        <v>0</v>
      </c>
      <c r="D26" s="85">
        <f>+'Project Assumptions'!$D21*'Project Assumptions'!$E21*'Project Assumptions'!H21*(1+'Sensitivity 2'!$D$5)^'Government Impact_baseline'!D$3</f>
        <v>0</v>
      </c>
      <c r="E26" s="85">
        <f>+'Project Assumptions'!$D21*'Project Assumptions'!$E21*'Project Assumptions'!I21*(1+'Sensitivity 2'!$D$5)^'Government Impact_baseline'!E$3</f>
        <v>0</v>
      </c>
      <c r="F26" s="85">
        <f>+'Project Assumptions'!$D21*'Project Assumptions'!$E21*'Project Assumptions'!J21*(1+'Sensitivity 2'!$D$5)^'Government Impact_baseline'!F$3</f>
        <v>46009.848499999986</v>
      </c>
      <c r="G26" s="85">
        <f>+'Project Assumptions'!$D21*'Project Assumptions'!$E21*'Project Assumptions'!K21*(1+'Sensitivity 2'!$D$5)^'Government Impact_baseline'!G$3</f>
        <v>70049.994341249956</v>
      </c>
      <c r="H26" s="85">
        <f>+'Project Assumptions'!$D21*'Project Assumptions'!$E21*'Project Assumptions'!L21*(1+'Sensitivity 2'!$D$5)^'Government Impact_baseline'!H$3</f>
        <v>0</v>
      </c>
      <c r="I26" s="85">
        <v>0</v>
      </c>
      <c r="J26" s="85">
        <v>0</v>
      </c>
      <c r="K26" s="85">
        <v>0</v>
      </c>
      <c r="L26" s="85">
        <v>0</v>
      </c>
      <c r="M26" s="85">
        <v>0</v>
      </c>
      <c r="N26" s="85">
        <v>0</v>
      </c>
      <c r="O26" s="85">
        <f>+'Project Assumptions'!$D21*'Project Assumptions'!$E21*'Project Assumptions'!S21*(1+'Sensitivity 2'!$D$5)^'Government Impact_baseline'!O$3</f>
        <v>0</v>
      </c>
      <c r="P26" s="85">
        <f>+'Project Assumptions'!$D21*'Project Assumptions'!$E21*'Project Assumptions'!T21*(1+'Sensitivity 2'!$D$5)^'Government Impact_baseline'!P$3</f>
        <v>0</v>
      </c>
      <c r="Q26" s="85">
        <f>+'Project Assumptions'!$D21*'Project Assumptions'!$E21*'Project Assumptions'!U21*(1+'Sensitivity 2'!$D$5)^'Government Impact_baseline'!Q$3</f>
        <v>0</v>
      </c>
      <c r="R26" s="85">
        <f>+'Project Assumptions'!$D21*'Project Assumptions'!$E21*'Project Assumptions'!V21*(1+'Sensitivity 2'!$D$5)^'Government Impact_baseline'!R$3</f>
        <v>0</v>
      </c>
      <c r="S26" s="85">
        <f>+'Project Assumptions'!$D21*'Project Assumptions'!$E21*'Project Assumptions'!W21*(1+'Sensitivity 2'!$D$5)^'Government Impact_baseline'!S$3</f>
        <v>0</v>
      </c>
      <c r="T26" s="85">
        <f>+'Project Assumptions'!$D21*'Project Assumptions'!$E21*'Project Assumptions'!X21*(1+'Sensitivity 2'!$D$5)^'Government Impact_baseline'!T$3</f>
        <v>0</v>
      </c>
      <c r="U26" s="85">
        <f>+'Project Assumptions'!$D21*'Project Assumptions'!$E21*'Project Assumptions'!Y21*(1+'Sensitivity 2'!$D$5)^'Government Impact_baseline'!U$3</f>
        <v>0</v>
      </c>
      <c r="V26" s="85">
        <f>+'Project Assumptions'!$D21*'Project Assumptions'!$E21*'Project Assumptions'!Z21*(1+'Sensitivity 2'!$D$5)^'Government Impact_baseline'!V$3</f>
        <v>0</v>
      </c>
      <c r="W26" s="85">
        <f>+'Project Assumptions'!$D21*'Project Assumptions'!$E21*'Project Assumptions'!AA21*(1+'Sensitivity 2'!$D$5)^'Government Impact_baseline'!W$3</f>
        <v>0</v>
      </c>
      <c r="X26" s="85">
        <f>+'Project Assumptions'!$D21*'Project Assumptions'!$E21*'Project Assumptions'!AB21*(1+'Sensitivity 2'!$D$5)^'Government Impact_baseline'!X$3</f>
        <v>0</v>
      </c>
      <c r="Y26" s="85">
        <f>+'Project Assumptions'!$D21*'Project Assumptions'!$E21*'Project Assumptions'!AC21*(1+'Sensitivity 2'!$D$5)^'Government Impact_baseline'!Y$3</f>
        <v>0</v>
      </c>
      <c r="Z26" s="85">
        <f>+'Project Assumptions'!$D21*'Project Assumptions'!$E21*'Project Assumptions'!AD21*(1+'Sensitivity 2'!$D$5)^'Government Impact_baseline'!Z$3</f>
        <v>0</v>
      </c>
      <c r="AA26" s="85">
        <f>+'Project Assumptions'!$D21*'Project Assumptions'!$E21*'Project Assumptions'!AE21*(1+'Sensitivity 2'!$D$5)^'Government Impact_baseline'!AA$3</f>
        <v>0</v>
      </c>
    </row>
    <row r="27" spans="2:27" hidden="1" outlineLevel="1" x14ac:dyDescent="0.35">
      <c r="B27" s="126" t="str">
        <f>+'Project Assumptions'!B22</f>
        <v>Main Pumps</v>
      </c>
      <c r="C27" s="85">
        <f>+'Project Assumptions'!$D22*'Project Assumptions'!$E22*'Project Assumptions'!G22</f>
        <v>0</v>
      </c>
      <c r="D27" s="85">
        <f>+'Project Assumptions'!$D22*'Project Assumptions'!$E22*'Project Assumptions'!H22*(1+'Sensitivity 2'!$D$5)^'Government Impact_baseline'!D$3</f>
        <v>0</v>
      </c>
      <c r="E27" s="85">
        <f>+'Project Assumptions'!$D22*'Project Assumptions'!$E22*'Project Assumptions'!I22*(1+'Sensitivity 2'!$D$5)^'Government Impact_baseline'!E$3</f>
        <v>0</v>
      </c>
      <c r="F27" s="85">
        <f>+'Project Assumptions'!$D22*'Project Assumptions'!$E22*'Project Assumptions'!J22*(1+'Sensitivity 2'!$D$5)^'Government Impact_baseline'!F$3</f>
        <v>13802.954549999995</v>
      </c>
      <c r="G27" s="85">
        <f>+'Project Assumptions'!$D22*'Project Assumptions'!$E22*'Project Assumptions'!K22*(1+'Sensitivity 2'!$D$5)^'Government Impact_baseline'!G$3</f>
        <v>32689.997359249977</v>
      </c>
      <c r="H27" s="85">
        <f>+'Project Assumptions'!$D22*'Project Assumptions'!$E22*'Project Assumptions'!L22*(1+'Sensitivity 2'!$D$5)^'Government Impact_baseline'!H$3</f>
        <v>0</v>
      </c>
      <c r="I27" s="85">
        <v>0</v>
      </c>
      <c r="J27" s="85">
        <v>0</v>
      </c>
      <c r="K27" s="85">
        <v>0</v>
      </c>
      <c r="L27" s="85">
        <v>0</v>
      </c>
      <c r="M27" s="85">
        <v>0</v>
      </c>
      <c r="N27" s="85">
        <v>0</v>
      </c>
      <c r="O27" s="85">
        <f>+'Project Assumptions'!$D22*'Project Assumptions'!$E22*'Project Assumptions'!S22*(1+'Sensitivity 2'!$D$5)^'Government Impact_baseline'!O$3</f>
        <v>0</v>
      </c>
      <c r="P27" s="85">
        <f>+'Project Assumptions'!$D22*'Project Assumptions'!$E22*'Project Assumptions'!T22*(1+'Sensitivity 2'!$D$5)^'Government Impact_baseline'!P$3</f>
        <v>0</v>
      </c>
      <c r="Q27" s="85">
        <f>+'Project Assumptions'!$D22*'Project Assumptions'!$E22*'Project Assumptions'!U22*(1+'Sensitivity 2'!$D$5)^'Government Impact_baseline'!Q$3</f>
        <v>0</v>
      </c>
      <c r="R27" s="85">
        <f>+'Project Assumptions'!$D22*'Project Assumptions'!$E22*'Project Assumptions'!V22*(1+'Sensitivity 2'!$D$5)^'Government Impact_baseline'!R$3</f>
        <v>0</v>
      </c>
      <c r="S27" s="85">
        <f>+'Project Assumptions'!$D22*'Project Assumptions'!$E22*'Project Assumptions'!W22*(1+'Sensitivity 2'!$D$5)^'Government Impact_baseline'!S$3</f>
        <v>0</v>
      </c>
      <c r="T27" s="85">
        <f>+'Project Assumptions'!$D22*'Project Assumptions'!$E22*'Project Assumptions'!X22*(1+'Sensitivity 2'!$D$5)^'Government Impact_baseline'!T$3</f>
        <v>0</v>
      </c>
      <c r="U27" s="85">
        <f>+'Project Assumptions'!$D22*'Project Assumptions'!$E22*'Project Assumptions'!Y22*(1+'Sensitivity 2'!$D$5)^'Government Impact_baseline'!U$3</f>
        <v>0</v>
      </c>
      <c r="V27" s="85">
        <f>+'Project Assumptions'!$D22*'Project Assumptions'!$E22*'Project Assumptions'!Z22*(1+'Sensitivity 2'!$D$5)^'Government Impact_baseline'!V$3</f>
        <v>0</v>
      </c>
      <c r="W27" s="85">
        <f>+'Project Assumptions'!$D22*'Project Assumptions'!$E22*'Project Assumptions'!AA22*(1+'Sensitivity 2'!$D$5)^'Government Impact_baseline'!W$3</f>
        <v>0</v>
      </c>
      <c r="X27" s="85">
        <f>+'Project Assumptions'!$D22*'Project Assumptions'!$E22*'Project Assumptions'!AB22*(1+'Sensitivity 2'!$D$5)^'Government Impact_baseline'!X$3</f>
        <v>0</v>
      </c>
      <c r="Y27" s="85">
        <f>+'Project Assumptions'!$D22*'Project Assumptions'!$E22*'Project Assumptions'!AC22*(1+'Sensitivity 2'!$D$5)^'Government Impact_baseline'!Y$3</f>
        <v>0</v>
      </c>
      <c r="Z27" s="85">
        <f>+'Project Assumptions'!$D22*'Project Assumptions'!$E22*'Project Assumptions'!AD22*(1+'Sensitivity 2'!$D$5)^'Government Impact_baseline'!Z$3</f>
        <v>0</v>
      </c>
      <c r="AA27" s="85">
        <f>+'Project Assumptions'!$D22*'Project Assumptions'!$E22*'Project Assumptions'!AE22*(1+'Sensitivity 2'!$D$5)^'Government Impact_baseline'!AA$3</f>
        <v>0</v>
      </c>
    </row>
    <row r="28" spans="2:27" hidden="1" outlineLevel="1" x14ac:dyDescent="0.35">
      <c r="B28" s="126" t="str">
        <f>+'Project Assumptions'!B23</f>
        <v>Main pumps housing</v>
      </c>
      <c r="C28" s="85">
        <f>+'Project Assumptions'!$D23*'Project Assumptions'!$E23*'Project Assumptions'!G23</f>
        <v>0</v>
      </c>
      <c r="D28" s="85">
        <f>+'Project Assumptions'!$D23*'Project Assumptions'!$E23*'Project Assumptions'!H23*(1+'Sensitivity 2'!$D$5)^'Government Impact_baseline'!D$3</f>
        <v>0</v>
      </c>
      <c r="E28" s="85">
        <f>+'Project Assumptions'!$D23*'Project Assumptions'!$E23*'Project Assumptions'!I23*(1+'Sensitivity 2'!$D$5)^'Government Impact_baseline'!E$3</f>
        <v>0</v>
      </c>
      <c r="F28" s="85">
        <f>+'Project Assumptions'!$D23*'Project Assumptions'!$E23*'Project Assumptions'!J23*(1+'Sensitivity 2'!$D$5)^'Government Impact_baseline'!F$3</f>
        <v>3764.4421499999985</v>
      </c>
      <c r="G28" s="85">
        <f>+'Project Assumptions'!$D23*'Project Assumptions'!$E23*'Project Assumptions'!K23*(1+'Sensitivity 2'!$D$5)^'Government Impact_baseline'!G$3</f>
        <v>8915.4538252499951</v>
      </c>
      <c r="H28" s="85">
        <f>+'Project Assumptions'!$D23*'Project Assumptions'!$E23*'Project Assumptions'!L23*(1+'Sensitivity 2'!$D$5)^'Government Impact_baseline'!H$3</f>
        <v>0</v>
      </c>
      <c r="I28" s="85">
        <v>0</v>
      </c>
      <c r="J28" s="85">
        <v>0</v>
      </c>
      <c r="K28" s="85">
        <v>0</v>
      </c>
      <c r="L28" s="85">
        <v>0</v>
      </c>
      <c r="M28" s="85">
        <v>0</v>
      </c>
      <c r="N28" s="85">
        <v>0</v>
      </c>
      <c r="O28" s="85">
        <f>+'Project Assumptions'!$D23*'Project Assumptions'!$E23*'Project Assumptions'!S23*(1+'Sensitivity 2'!$D$5)^'Government Impact_baseline'!O$3</f>
        <v>0</v>
      </c>
      <c r="P28" s="85">
        <f>+'Project Assumptions'!$D23*'Project Assumptions'!$E23*'Project Assumptions'!T23*(1+'Sensitivity 2'!$D$5)^'Government Impact_baseline'!P$3</f>
        <v>0</v>
      </c>
      <c r="Q28" s="85">
        <f>+'Project Assumptions'!$D23*'Project Assumptions'!$E23*'Project Assumptions'!U23*(1+'Sensitivity 2'!$D$5)^'Government Impact_baseline'!Q$3</f>
        <v>0</v>
      </c>
      <c r="R28" s="85">
        <f>+'Project Assumptions'!$D23*'Project Assumptions'!$E23*'Project Assumptions'!V23*(1+'Sensitivity 2'!$D$5)^'Government Impact_baseline'!R$3</f>
        <v>0</v>
      </c>
      <c r="S28" s="85">
        <f>+'Project Assumptions'!$D23*'Project Assumptions'!$E23*'Project Assumptions'!W23*(1+'Sensitivity 2'!$D$5)^'Government Impact_baseline'!S$3</f>
        <v>0</v>
      </c>
      <c r="T28" s="85">
        <f>+'Project Assumptions'!$D23*'Project Assumptions'!$E23*'Project Assumptions'!X23*(1+'Sensitivity 2'!$D$5)^'Government Impact_baseline'!T$3</f>
        <v>0</v>
      </c>
      <c r="U28" s="85">
        <f>+'Project Assumptions'!$D23*'Project Assumptions'!$E23*'Project Assumptions'!Y23*(1+'Sensitivity 2'!$D$5)^'Government Impact_baseline'!U$3</f>
        <v>0</v>
      </c>
      <c r="V28" s="85">
        <f>+'Project Assumptions'!$D23*'Project Assumptions'!$E23*'Project Assumptions'!Z23*(1+'Sensitivity 2'!$D$5)^'Government Impact_baseline'!V$3</f>
        <v>0</v>
      </c>
      <c r="W28" s="85">
        <f>+'Project Assumptions'!$D23*'Project Assumptions'!$E23*'Project Assumptions'!AA23*(1+'Sensitivity 2'!$D$5)^'Government Impact_baseline'!W$3</f>
        <v>0</v>
      </c>
      <c r="X28" s="85">
        <f>+'Project Assumptions'!$D23*'Project Assumptions'!$E23*'Project Assumptions'!AB23*(1+'Sensitivity 2'!$D$5)^'Government Impact_baseline'!X$3</f>
        <v>0</v>
      </c>
      <c r="Y28" s="85">
        <f>+'Project Assumptions'!$D23*'Project Assumptions'!$E23*'Project Assumptions'!AC23*(1+'Sensitivity 2'!$D$5)^'Government Impact_baseline'!Y$3</f>
        <v>0</v>
      </c>
      <c r="Z28" s="85">
        <f>+'Project Assumptions'!$D23*'Project Assumptions'!$E23*'Project Assumptions'!AD23*(1+'Sensitivity 2'!$D$5)^'Government Impact_baseline'!Z$3</f>
        <v>0</v>
      </c>
      <c r="AA28" s="85">
        <f>+'Project Assumptions'!$D23*'Project Assumptions'!$E23*'Project Assumptions'!AE23*(1+'Sensitivity 2'!$D$5)^'Government Impact_baseline'!AA$3</f>
        <v>0</v>
      </c>
    </row>
    <row r="29" spans="2:27" hidden="1" outlineLevel="1" x14ac:dyDescent="0.35">
      <c r="B29" s="126" t="str">
        <f>+'Project Assumptions'!B24</f>
        <v>Flow meters and controls</v>
      </c>
      <c r="C29" s="85">
        <f>+'Project Assumptions'!$D24*'Project Assumptions'!$E24*'Project Assumptions'!G24</f>
        <v>0</v>
      </c>
      <c r="D29" s="85">
        <f>+'Project Assumptions'!$D24*'Project Assumptions'!$E24*'Project Assumptions'!H24*(1+'Sensitivity 2'!$D$5)^'Government Impact_baseline'!D$3</f>
        <v>0</v>
      </c>
      <c r="E29" s="85">
        <f>+'Project Assumptions'!$D24*'Project Assumptions'!$E24*'Project Assumptions'!I24*(1+'Sensitivity 2'!$D$5)^'Government Impact_baseline'!E$3</f>
        <v>0</v>
      </c>
      <c r="F29" s="85">
        <f>+'Project Assumptions'!$D24*'Project Assumptions'!$E24*'Project Assumptions'!J24*(1+'Sensitivity 2'!$D$5)^'Government Impact_baseline'!F$3</f>
        <v>7528.884299999997</v>
      </c>
      <c r="G29" s="85">
        <f>+'Project Assumptions'!$D24*'Project Assumptions'!$E24*'Project Assumptions'!K24*(1+'Sensitivity 2'!$D$5)^'Government Impact_baseline'!G$3</f>
        <v>17830.90765049999</v>
      </c>
      <c r="H29" s="85">
        <f>+'Project Assumptions'!$D24*'Project Assumptions'!$E24*'Project Assumptions'!L24*(1+'Sensitivity 2'!$D$5)^'Government Impact_baseline'!H$3</f>
        <v>0</v>
      </c>
      <c r="I29" s="85">
        <v>0</v>
      </c>
      <c r="J29" s="85">
        <v>0</v>
      </c>
      <c r="K29" s="85">
        <v>0</v>
      </c>
      <c r="L29" s="85">
        <v>0</v>
      </c>
      <c r="M29" s="85">
        <v>0</v>
      </c>
      <c r="N29" s="85">
        <v>0</v>
      </c>
      <c r="O29" s="85">
        <f>+'Project Assumptions'!$D24*'Project Assumptions'!$E24*'Project Assumptions'!S24*(1+'Sensitivity 2'!$D$5)^'Government Impact_baseline'!O$3</f>
        <v>0</v>
      </c>
      <c r="P29" s="85">
        <f>+'Project Assumptions'!$D24*'Project Assumptions'!$E24*'Project Assumptions'!T24*(1+'Sensitivity 2'!$D$5)^'Government Impact_baseline'!P$3</f>
        <v>0</v>
      </c>
      <c r="Q29" s="85">
        <f>+'Project Assumptions'!$D24*'Project Assumptions'!$E24*'Project Assumptions'!U24*(1+'Sensitivity 2'!$D$5)^'Government Impact_baseline'!Q$3</f>
        <v>0</v>
      </c>
      <c r="R29" s="85">
        <f>+'Project Assumptions'!$D24*'Project Assumptions'!$E24*'Project Assumptions'!V24*(1+'Sensitivity 2'!$D$5)^'Government Impact_baseline'!R$3</f>
        <v>0</v>
      </c>
      <c r="S29" s="85">
        <f>+'Project Assumptions'!$D24*'Project Assumptions'!$E24*'Project Assumptions'!W24*(1+'Sensitivity 2'!$D$5)^'Government Impact_baseline'!S$3</f>
        <v>0</v>
      </c>
      <c r="T29" s="85">
        <f>+'Project Assumptions'!$D24*'Project Assumptions'!$E24*'Project Assumptions'!X24*(1+'Sensitivity 2'!$D$5)^'Government Impact_baseline'!T$3</f>
        <v>0</v>
      </c>
      <c r="U29" s="85">
        <f>+'Project Assumptions'!$D24*'Project Assumptions'!$E24*'Project Assumptions'!Y24*(1+'Sensitivity 2'!$D$5)^'Government Impact_baseline'!U$3</f>
        <v>0</v>
      </c>
      <c r="V29" s="85">
        <f>+'Project Assumptions'!$D24*'Project Assumptions'!$E24*'Project Assumptions'!Z24*(1+'Sensitivity 2'!$D$5)^'Government Impact_baseline'!V$3</f>
        <v>0</v>
      </c>
      <c r="W29" s="85">
        <f>+'Project Assumptions'!$D24*'Project Assumptions'!$E24*'Project Assumptions'!AA24*(1+'Sensitivity 2'!$D$5)^'Government Impact_baseline'!W$3</f>
        <v>0</v>
      </c>
      <c r="X29" s="85">
        <f>+'Project Assumptions'!$D24*'Project Assumptions'!$E24*'Project Assumptions'!AB24*(1+'Sensitivity 2'!$D$5)^'Government Impact_baseline'!X$3</f>
        <v>0</v>
      </c>
      <c r="Y29" s="85">
        <f>+'Project Assumptions'!$D24*'Project Assumptions'!$E24*'Project Assumptions'!AC24*(1+'Sensitivity 2'!$D$5)^'Government Impact_baseline'!Y$3</f>
        <v>0</v>
      </c>
      <c r="Z29" s="85">
        <f>+'Project Assumptions'!$D24*'Project Assumptions'!$E24*'Project Assumptions'!AD24*(1+'Sensitivity 2'!$D$5)^'Government Impact_baseline'!Z$3</f>
        <v>0</v>
      </c>
      <c r="AA29" s="85">
        <f>+'Project Assumptions'!$D24*'Project Assumptions'!$E24*'Project Assumptions'!AE24*(1+'Sensitivity 2'!$D$5)^'Government Impact_baseline'!AA$3</f>
        <v>0</v>
      </c>
    </row>
    <row r="30" spans="2:27" hidden="1" outlineLevel="1" x14ac:dyDescent="0.35">
      <c r="B30" s="126" t="str">
        <f>+'Project Assumptions'!B25</f>
        <v>Electricity lines</v>
      </c>
      <c r="C30" s="85">
        <f>+'Project Assumptions'!$D25*'Project Assumptions'!$E25*'Project Assumptions'!G25</f>
        <v>0</v>
      </c>
      <c r="D30" s="85">
        <f>+'Project Assumptions'!$D25*'Project Assumptions'!$E25*'Project Assumptions'!H25*(1+'Sensitivity 2'!$D$5)^'Government Impact_baseline'!D$3</f>
        <v>0</v>
      </c>
      <c r="E30" s="85">
        <f>+'Project Assumptions'!$D25*'Project Assumptions'!$E25*'Project Assumptions'!I25*(1+'Sensitivity 2'!$D$5)^'Government Impact_baseline'!E$3</f>
        <v>0</v>
      </c>
      <c r="F30" s="85">
        <f>+'Project Assumptions'!$D25*'Project Assumptions'!$E25*'Project Assumptions'!J25*(1+'Sensitivity 2'!$D$5)^'Government Impact_baseline'!F$3</f>
        <v>101953.64156249996</v>
      </c>
      <c r="G30" s="85">
        <f>+'Project Assumptions'!$D25*'Project Assumptions'!$E25*'Project Assumptions'!K25*(1+'Sensitivity 2'!$D$5)^'Government Impact_baseline'!G$3</f>
        <v>103482.94618593744</v>
      </c>
      <c r="H30" s="85">
        <f>+'Project Assumptions'!$D25*'Project Assumptions'!$E25*'Project Assumptions'!L25*(1+'Sensitivity 2'!$D$5)^'Government Impact_baseline'!H$3</f>
        <v>0</v>
      </c>
      <c r="I30" s="85">
        <v>0</v>
      </c>
      <c r="J30" s="85">
        <v>0</v>
      </c>
      <c r="K30" s="85">
        <v>0</v>
      </c>
      <c r="L30" s="85">
        <v>0</v>
      </c>
      <c r="M30" s="85">
        <v>0</v>
      </c>
      <c r="N30" s="85">
        <v>0</v>
      </c>
      <c r="O30" s="85">
        <f>+'Project Assumptions'!$D25*'Project Assumptions'!$E25*'Project Assumptions'!S25*(1+'Sensitivity 2'!$D$5)^'Government Impact_baseline'!O$3</f>
        <v>0</v>
      </c>
      <c r="P30" s="85">
        <f>+'Project Assumptions'!$D25*'Project Assumptions'!$E25*'Project Assumptions'!T25*(1+'Sensitivity 2'!$D$5)^'Government Impact_baseline'!P$3</f>
        <v>0</v>
      </c>
      <c r="Q30" s="85">
        <f>+'Project Assumptions'!$D25*'Project Assumptions'!$E25*'Project Assumptions'!U25*(1+'Sensitivity 2'!$D$5)^'Government Impact_baseline'!Q$3</f>
        <v>0</v>
      </c>
      <c r="R30" s="85">
        <f>+'Project Assumptions'!$D25*'Project Assumptions'!$E25*'Project Assumptions'!V25*(1+'Sensitivity 2'!$D$5)^'Government Impact_baseline'!R$3</f>
        <v>0</v>
      </c>
      <c r="S30" s="85">
        <f>+'Project Assumptions'!$D25*'Project Assumptions'!$E25*'Project Assumptions'!W25*(1+'Sensitivity 2'!$D$5)^'Government Impact_baseline'!S$3</f>
        <v>0</v>
      </c>
      <c r="T30" s="85">
        <f>+'Project Assumptions'!$D25*'Project Assumptions'!$E25*'Project Assumptions'!X25*(1+'Sensitivity 2'!$D$5)^'Government Impact_baseline'!T$3</f>
        <v>0</v>
      </c>
      <c r="U30" s="85">
        <f>+'Project Assumptions'!$D25*'Project Assumptions'!$E25*'Project Assumptions'!Y25*(1+'Sensitivity 2'!$D$5)^'Government Impact_baseline'!U$3</f>
        <v>0</v>
      </c>
      <c r="V30" s="85">
        <f>+'Project Assumptions'!$D25*'Project Assumptions'!$E25*'Project Assumptions'!Z25*(1+'Sensitivity 2'!$D$5)^'Government Impact_baseline'!V$3</f>
        <v>0</v>
      </c>
      <c r="W30" s="85">
        <f>+'Project Assumptions'!$D25*'Project Assumptions'!$E25*'Project Assumptions'!AA25*(1+'Sensitivity 2'!$D$5)^'Government Impact_baseline'!W$3</f>
        <v>0</v>
      </c>
      <c r="X30" s="85">
        <f>+'Project Assumptions'!$D25*'Project Assumptions'!$E25*'Project Assumptions'!AB25*(1+'Sensitivity 2'!$D$5)^'Government Impact_baseline'!X$3</f>
        <v>0</v>
      </c>
      <c r="Y30" s="85">
        <f>+'Project Assumptions'!$D25*'Project Assumptions'!$E25*'Project Assumptions'!AC25*(1+'Sensitivity 2'!$D$5)^'Government Impact_baseline'!Y$3</f>
        <v>0</v>
      </c>
      <c r="Z30" s="85">
        <f>+'Project Assumptions'!$D25*'Project Assumptions'!$E25*'Project Assumptions'!AD25*(1+'Sensitivity 2'!$D$5)^'Government Impact_baseline'!Z$3</f>
        <v>0</v>
      </c>
      <c r="AA30" s="85">
        <f>+'Project Assumptions'!$D25*'Project Assumptions'!$E25*'Project Assumptions'!AE25*(1+'Sensitivity 2'!$D$5)^'Government Impact_baseline'!AA$3</f>
        <v>0</v>
      </c>
    </row>
    <row r="31" spans="2:27" hidden="1" outlineLevel="1" x14ac:dyDescent="0.35">
      <c r="B31" s="126" t="str">
        <f>+'Project Assumptions'!B26</f>
        <v>Electric transformer</v>
      </c>
      <c r="C31" s="85">
        <f>+'Project Assumptions'!$D26*'Project Assumptions'!$E26*'Project Assumptions'!G26</f>
        <v>0</v>
      </c>
      <c r="D31" s="85">
        <f>+'Project Assumptions'!$D26*'Project Assumptions'!$E26*'Project Assumptions'!H26*(1+'Sensitivity 2'!$D$5)^'Government Impact_baseline'!D$3</f>
        <v>0</v>
      </c>
      <c r="E31" s="85">
        <f>+'Project Assumptions'!$D26*'Project Assumptions'!$E26*'Project Assumptions'!I26*(1+'Sensitivity 2'!$D$5)^'Government Impact_baseline'!E$3</f>
        <v>0</v>
      </c>
      <c r="F31" s="85">
        <f>+'Project Assumptions'!$D26*'Project Assumptions'!$E26*'Project Assumptions'!J26*(1+'Sensitivity 2'!$D$5)^'Government Impact_baseline'!F$3</f>
        <v>0</v>
      </c>
      <c r="G31" s="85">
        <f>+'Project Assumptions'!$D26*'Project Assumptions'!$E26*'Project Assumptions'!K26*(1+'Sensitivity 2'!$D$5)^'Government Impact_baseline'!G$3</f>
        <v>5094.5450429999973</v>
      </c>
      <c r="H31" s="85">
        <f>+'Project Assumptions'!$D26*'Project Assumptions'!$E26*'Project Assumptions'!L26*(1+'Sensitivity 2'!$D$5)^'Government Impact_baseline'!H$3</f>
        <v>0</v>
      </c>
      <c r="I31" s="85">
        <v>0</v>
      </c>
      <c r="J31" s="85">
        <v>0</v>
      </c>
      <c r="K31" s="85">
        <v>0</v>
      </c>
      <c r="L31" s="85">
        <v>0</v>
      </c>
      <c r="M31" s="85">
        <v>0</v>
      </c>
      <c r="N31" s="85">
        <v>0</v>
      </c>
      <c r="O31" s="85">
        <f>+'Project Assumptions'!$D26*'Project Assumptions'!$E26*'Project Assumptions'!S26*(1+'Sensitivity 2'!$D$5)^'Government Impact_baseline'!O$3</f>
        <v>0</v>
      </c>
      <c r="P31" s="85">
        <f>+'Project Assumptions'!$D26*'Project Assumptions'!$E26*'Project Assumptions'!T26*(1+'Sensitivity 2'!$D$5)^'Government Impact_baseline'!P$3</f>
        <v>0</v>
      </c>
      <c r="Q31" s="85">
        <f>+'Project Assumptions'!$D26*'Project Assumptions'!$E26*'Project Assumptions'!U26*(1+'Sensitivity 2'!$D$5)^'Government Impact_baseline'!Q$3</f>
        <v>0</v>
      </c>
      <c r="R31" s="85">
        <f>+'Project Assumptions'!$D26*'Project Assumptions'!$E26*'Project Assumptions'!V26*(1+'Sensitivity 2'!$D$5)^'Government Impact_baseline'!R$3</f>
        <v>0</v>
      </c>
      <c r="S31" s="85">
        <f>+'Project Assumptions'!$D26*'Project Assumptions'!$E26*'Project Assumptions'!W26*(1+'Sensitivity 2'!$D$5)^'Government Impact_baseline'!S$3</f>
        <v>0</v>
      </c>
      <c r="T31" s="85">
        <f>+'Project Assumptions'!$D26*'Project Assumptions'!$E26*'Project Assumptions'!X26*(1+'Sensitivity 2'!$D$5)^'Government Impact_baseline'!T$3</f>
        <v>0</v>
      </c>
      <c r="U31" s="85">
        <f>+'Project Assumptions'!$D26*'Project Assumptions'!$E26*'Project Assumptions'!Y26*(1+'Sensitivity 2'!$D$5)^'Government Impact_baseline'!U$3</f>
        <v>0</v>
      </c>
      <c r="V31" s="85">
        <f>+'Project Assumptions'!$D26*'Project Assumptions'!$E26*'Project Assumptions'!Z26*(1+'Sensitivity 2'!$D$5)^'Government Impact_baseline'!V$3</f>
        <v>0</v>
      </c>
      <c r="W31" s="85">
        <f>+'Project Assumptions'!$D26*'Project Assumptions'!$E26*'Project Assumptions'!AA26*(1+'Sensitivity 2'!$D$5)^'Government Impact_baseline'!W$3</f>
        <v>0</v>
      </c>
      <c r="X31" s="85">
        <f>+'Project Assumptions'!$D26*'Project Assumptions'!$E26*'Project Assumptions'!AB26*(1+'Sensitivity 2'!$D$5)^'Government Impact_baseline'!X$3</f>
        <v>0</v>
      </c>
      <c r="Y31" s="85">
        <f>+'Project Assumptions'!$D26*'Project Assumptions'!$E26*'Project Assumptions'!AC26*(1+'Sensitivity 2'!$D$5)^'Government Impact_baseline'!Y$3</f>
        <v>0</v>
      </c>
      <c r="Z31" s="85">
        <f>+'Project Assumptions'!$D26*'Project Assumptions'!$E26*'Project Assumptions'!AD26*(1+'Sensitivity 2'!$D$5)^'Government Impact_baseline'!Z$3</f>
        <v>0</v>
      </c>
      <c r="AA31" s="85">
        <f>+'Project Assumptions'!$D26*'Project Assumptions'!$E26*'Project Assumptions'!AE26*(1+'Sensitivity 2'!$D$5)^'Government Impact_baseline'!AA$3</f>
        <v>0</v>
      </c>
    </row>
    <row r="32" spans="2:27" x14ac:dyDescent="0.35">
      <c r="B32" s="70" t="s">
        <v>123</v>
      </c>
      <c r="C32" s="88">
        <f t="shared" ref="C32:AA32" si="10">C4-C6-C17</f>
        <v>-1875000</v>
      </c>
      <c r="D32" s="88">
        <f t="shared" si="10"/>
        <v>-2659024.9999999995</v>
      </c>
      <c r="E32" s="88">
        <f t="shared" si="10"/>
        <v>-4856893.3124999991</v>
      </c>
      <c r="F32" s="88">
        <f t="shared" si="10"/>
        <v>-7178176.2961349972</v>
      </c>
      <c r="G32" s="88">
        <f t="shared" si="10"/>
        <v>-7945036.9760139091</v>
      </c>
      <c r="H32" s="88">
        <f t="shared" si="10"/>
        <v>-2476378.2078251997</v>
      </c>
      <c r="I32" s="88">
        <f t="shared" si="10"/>
        <v>-2399703.8266784917</v>
      </c>
      <c r="J32" s="88">
        <f t="shared" si="10"/>
        <v>-2323256.9254791681</v>
      </c>
      <c r="K32" s="88">
        <f t="shared" si="10"/>
        <v>-2247040.9164264407</v>
      </c>
      <c r="L32" s="88">
        <f t="shared" si="10"/>
        <v>-2171059.2629025076</v>
      </c>
      <c r="M32" s="88">
        <f t="shared" si="10"/>
        <v>-2095315.4802403012</v>
      </c>
      <c r="N32" s="88">
        <f t="shared" si="10"/>
        <v>-2019813.1365027474</v>
      </c>
      <c r="O32" s="88">
        <f t="shared" si="10"/>
        <v>-1944555.8532737158</v>
      </c>
      <c r="P32" s="88">
        <f t="shared" si="10"/>
        <v>-2472334.3721905053</v>
      </c>
      <c r="Q32" s="88">
        <f t="shared" si="10"/>
        <v>-4733723.9939728081</v>
      </c>
      <c r="R32" s="88">
        <f t="shared" si="10"/>
        <v>-1720291.4022341846</v>
      </c>
      <c r="S32" s="88">
        <f t="shared" si="10"/>
        <v>-1646051.6756494672</v>
      </c>
      <c r="T32" s="88">
        <f t="shared" si="10"/>
        <v>-1572075.9488305645</v>
      </c>
      <c r="U32" s="88">
        <f t="shared" si="10"/>
        <v>-1498368.1817739638</v>
      </c>
      <c r="V32" s="88">
        <f t="shared" si="10"/>
        <v>-1424932.3938761</v>
      </c>
      <c r="W32" s="88">
        <f t="shared" si="10"/>
        <v>-1351772.6648243535</v>
      </c>
      <c r="X32" s="88">
        <f t="shared" si="10"/>
        <v>-1278893.1355014166</v>
      </c>
      <c r="Y32" s="88">
        <f t="shared" si="10"/>
        <v>-1206298.0089032212</v>
      </c>
      <c r="Z32" s="88">
        <f t="shared" si="10"/>
        <v>-1133991.5510706385</v>
      </c>
      <c r="AA32" s="88">
        <f t="shared" si="10"/>
        <v>-1061978.041062779</v>
      </c>
    </row>
    <row r="34" spans="1:27" x14ac:dyDescent="0.35">
      <c r="B34" s="3" t="s">
        <v>144</v>
      </c>
    </row>
    <row r="35" spans="1:27" x14ac:dyDescent="0.35">
      <c r="B35" t="s">
        <v>148</v>
      </c>
      <c r="C35" s="127">
        <f t="shared" ref="C35" si="11">+C36-C38</f>
        <v>1875000</v>
      </c>
      <c r="D35" s="127">
        <f t="shared" ref="D35:Y35" si="12">+C35+D36-D38</f>
        <v>4346525</v>
      </c>
      <c r="E35" s="127">
        <f t="shared" si="12"/>
        <v>8768765.8125</v>
      </c>
      <c r="F35" s="127">
        <f t="shared" si="12"/>
        <v>14436970.012024999</v>
      </c>
      <c r="G35" s="127">
        <f t="shared" si="12"/>
        <v>18367942.194474809</v>
      </c>
      <c r="H35" s="127">
        <f t="shared" si="12"/>
        <v>17449545.08475107</v>
      </c>
      <c r="I35" s="127">
        <f t="shared" si="12"/>
        <v>16531147.975027328</v>
      </c>
      <c r="J35" s="127">
        <f t="shared" si="12"/>
        <v>15612750.865303587</v>
      </c>
      <c r="K35" s="127">
        <f t="shared" si="12"/>
        <v>14694353.755579846</v>
      </c>
      <c r="L35" s="127">
        <f t="shared" si="12"/>
        <v>13775956.645856105</v>
      </c>
      <c r="M35" s="127">
        <f t="shared" si="12"/>
        <v>12857559.536132364</v>
      </c>
      <c r="N35" s="127">
        <f t="shared" si="12"/>
        <v>11939162.426408622</v>
      </c>
      <c r="O35" s="127">
        <f t="shared" si="12"/>
        <v>11020765.316684881</v>
      </c>
      <c r="P35" s="127">
        <f t="shared" si="12"/>
        <v>10102368.20696114</v>
      </c>
      <c r="Q35" s="127">
        <f t="shared" si="12"/>
        <v>9183971.0972373988</v>
      </c>
      <c r="R35" s="127">
        <f t="shared" si="12"/>
        <v>8265573.9875136586</v>
      </c>
      <c r="S35" s="127">
        <f t="shared" si="12"/>
        <v>7347176.8777899183</v>
      </c>
      <c r="T35" s="127">
        <f t="shared" si="12"/>
        <v>6428779.7680661781</v>
      </c>
      <c r="U35" s="127">
        <f t="shared" si="12"/>
        <v>5510382.6583424378</v>
      </c>
      <c r="V35" s="127">
        <f t="shared" si="12"/>
        <v>4591985.5486186976</v>
      </c>
      <c r="W35" s="127">
        <f t="shared" si="12"/>
        <v>3673588.4388949573</v>
      </c>
      <c r="X35" s="127">
        <f t="shared" si="12"/>
        <v>2755191.329171217</v>
      </c>
      <c r="Y35" s="127">
        <f t="shared" si="12"/>
        <v>1836794.2194474766</v>
      </c>
      <c r="Z35" s="127">
        <f>ROUND(Y35+Z36-Z38,1)</f>
        <v>918397.1</v>
      </c>
      <c r="AA35" s="127">
        <f>ROUND(Z35+AA36-AA38,1)</f>
        <v>0</v>
      </c>
    </row>
    <row r="36" spans="1:27" x14ac:dyDescent="0.35">
      <c r="B36" t="s">
        <v>142</v>
      </c>
      <c r="C36" s="127">
        <f t="shared" ref="C36:AA36" si="13">+C17</f>
        <v>1875000</v>
      </c>
      <c r="D36" s="127">
        <f t="shared" si="13"/>
        <v>2471524.9999999995</v>
      </c>
      <c r="E36" s="127">
        <f t="shared" si="13"/>
        <v>4422240.8124999991</v>
      </c>
      <c r="F36" s="127">
        <f t="shared" si="13"/>
        <v>5668204.1995249977</v>
      </c>
      <c r="G36" s="127">
        <f t="shared" si="13"/>
        <v>3930972.1824498107</v>
      </c>
      <c r="H36" s="127">
        <f t="shared" si="13"/>
        <v>0</v>
      </c>
      <c r="I36" s="127">
        <f t="shared" si="13"/>
        <v>0</v>
      </c>
      <c r="J36" s="127">
        <f t="shared" si="13"/>
        <v>0</v>
      </c>
      <c r="K36" s="127">
        <f t="shared" si="13"/>
        <v>0</v>
      </c>
      <c r="L36" s="127">
        <f t="shared" si="13"/>
        <v>0</v>
      </c>
      <c r="M36" s="127">
        <f t="shared" si="13"/>
        <v>0</v>
      </c>
      <c r="N36" s="127">
        <f t="shared" si="13"/>
        <v>0</v>
      </c>
      <c r="O36" s="127">
        <f t="shared" si="13"/>
        <v>0</v>
      </c>
      <c r="P36" s="127">
        <f t="shared" si="13"/>
        <v>0</v>
      </c>
      <c r="Q36" s="127">
        <f t="shared" si="13"/>
        <v>0</v>
      </c>
      <c r="R36" s="127">
        <f t="shared" si="13"/>
        <v>0</v>
      </c>
      <c r="S36" s="127">
        <f t="shared" si="13"/>
        <v>0</v>
      </c>
      <c r="T36" s="127">
        <f t="shared" si="13"/>
        <v>0</v>
      </c>
      <c r="U36" s="127">
        <f t="shared" si="13"/>
        <v>0</v>
      </c>
      <c r="V36" s="127">
        <f t="shared" si="13"/>
        <v>0</v>
      </c>
      <c r="W36" s="127">
        <f t="shared" si="13"/>
        <v>0</v>
      </c>
      <c r="X36" s="127">
        <f t="shared" si="13"/>
        <v>0</v>
      </c>
      <c r="Y36" s="127">
        <f t="shared" si="13"/>
        <v>0</v>
      </c>
      <c r="Z36" s="127">
        <f t="shared" si="13"/>
        <v>0</v>
      </c>
      <c r="AA36" s="127">
        <f t="shared" si="13"/>
        <v>0</v>
      </c>
    </row>
    <row r="37" spans="1:27" x14ac:dyDescent="0.35">
      <c r="B37" t="s">
        <v>145</v>
      </c>
      <c r="C37" s="127">
        <v>0</v>
      </c>
      <c r="D37" s="127">
        <f>+C35*'Sensitivity 2'!$D$3</f>
        <v>187500</v>
      </c>
      <c r="E37" s="127">
        <f>+D35*'Sensitivity 2'!$D$3</f>
        <v>434652.5</v>
      </c>
      <c r="F37" s="127">
        <f>+E35*'Sensitivity 2'!$D$3</f>
        <v>876876.58125000005</v>
      </c>
      <c r="G37" s="127">
        <f>+F35*'Sensitivity 2'!$D$3</f>
        <v>1443697.0012025</v>
      </c>
      <c r="H37" s="127">
        <f>+G35*'Sensitivity 2'!$D$3</f>
        <v>1836794.219447481</v>
      </c>
      <c r="I37" s="127">
        <f>+H35*'Sensitivity 2'!$D$3</f>
        <v>1744954.5084751071</v>
      </c>
      <c r="J37" s="127">
        <f>+I35*'Sensitivity 2'!$D$3</f>
        <v>1653114.7975027328</v>
      </c>
      <c r="K37" s="127">
        <f>+J35*'Sensitivity 2'!$D$3</f>
        <v>1561275.0865303588</v>
      </c>
      <c r="L37" s="127">
        <f>+K35*'Sensitivity 2'!$D$3</f>
        <v>1469435.3755579847</v>
      </c>
      <c r="M37" s="127">
        <f>+L35*'Sensitivity 2'!$D$3</f>
        <v>1377595.6645856106</v>
      </c>
      <c r="N37" s="127">
        <f>+M35*'Sensitivity 2'!$D$3</f>
        <v>1285755.9536132365</v>
      </c>
      <c r="O37" s="127">
        <f>+N35*'Sensitivity 2'!$D$3</f>
        <v>1193916.2426408622</v>
      </c>
      <c r="P37" s="127">
        <f>+O35*'Sensitivity 2'!$D$3</f>
        <v>1102076.5316684882</v>
      </c>
      <c r="Q37" s="127">
        <f>+P35*'Sensitivity 2'!$D$3</f>
        <v>1010236.8206961141</v>
      </c>
      <c r="R37" s="127">
        <f>+Q35*'Sensitivity 2'!$D$3</f>
        <v>918397.10972373991</v>
      </c>
      <c r="S37" s="127">
        <f>+R35*'Sensitivity 2'!$D$3</f>
        <v>826557.39875136595</v>
      </c>
      <c r="T37" s="127">
        <f>+S35*'Sensitivity 2'!$D$3</f>
        <v>734717.68777899188</v>
      </c>
      <c r="U37" s="127">
        <f>+T35*'Sensitivity 2'!$D$3</f>
        <v>642877.97680661781</v>
      </c>
      <c r="V37" s="127">
        <f>+U35*'Sensitivity 2'!$D$3</f>
        <v>551038.26583424385</v>
      </c>
      <c r="W37" s="127">
        <f>+V35*'Sensitivity 2'!$D$3</f>
        <v>459198.55486186978</v>
      </c>
      <c r="X37" s="127">
        <f>+W35*'Sensitivity 2'!$D$3</f>
        <v>367358.84388949577</v>
      </c>
      <c r="Y37" s="127">
        <f>+X35*'Sensitivity 2'!$D$3</f>
        <v>275519.13291712169</v>
      </c>
      <c r="Z37" s="127">
        <f>+Y35*'Sensitivity 2'!$D$3</f>
        <v>183679.42194474768</v>
      </c>
      <c r="AA37" s="127">
        <f>+Z35*'Sensitivity 2'!$D$3</f>
        <v>91839.71</v>
      </c>
    </row>
    <row r="38" spans="1:27" x14ac:dyDescent="0.35">
      <c r="B38" t="s">
        <v>147</v>
      </c>
      <c r="C38" s="127">
        <v>0</v>
      </c>
      <c r="D38" s="127">
        <v>0</v>
      </c>
      <c r="E38" s="127">
        <v>0</v>
      </c>
      <c r="F38" s="127">
        <v>0</v>
      </c>
      <c r="G38" s="127">
        <v>0</v>
      </c>
      <c r="H38" s="127">
        <f t="shared" ref="H38" si="14">+G35/20</f>
        <v>918397.10972374049</v>
      </c>
      <c r="I38" s="127">
        <f t="shared" ref="I38:AA38" si="15">+H38</f>
        <v>918397.10972374049</v>
      </c>
      <c r="J38" s="127">
        <f t="shared" si="15"/>
        <v>918397.10972374049</v>
      </c>
      <c r="K38" s="127">
        <f t="shared" si="15"/>
        <v>918397.10972374049</v>
      </c>
      <c r="L38" s="127">
        <f t="shared" si="15"/>
        <v>918397.10972374049</v>
      </c>
      <c r="M38" s="127">
        <f t="shared" si="15"/>
        <v>918397.10972374049</v>
      </c>
      <c r="N38" s="127">
        <f t="shared" si="15"/>
        <v>918397.10972374049</v>
      </c>
      <c r="O38" s="127">
        <f t="shared" si="15"/>
        <v>918397.10972374049</v>
      </c>
      <c r="P38" s="127">
        <f t="shared" si="15"/>
        <v>918397.10972374049</v>
      </c>
      <c r="Q38" s="127">
        <f t="shared" si="15"/>
        <v>918397.10972374049</v>
      </c>
      <c r="R38" s="127">
        <f t="shared" si="15"/>
        <v>918397.10972374049</v>
      </c>
      <c r="S38" s="127">
        <f t="shared" si="15"/>
        <v>918397.10972374049</v>
      </c>
      <c r="T38" s="127">
        <f t="shared" si="15"/>
        <v>918397.10972374049</v>
      </c>
      <c r="U38" s="127">
        <f t="shared" si="15"/>
        <v>918397.10972374049</v>
      </c>
      <c r="V38" s="127">
        <f t="shared" si="15"/>
        <v>918397.10972374049</v>
      </c>
      <c r="W38" s="127">
        <f t="shared" si="15"/>
        <v>918397.10972374049</v>
      </c>
      <c r="X38" s="127">
        <f t="shared" si="15"/>
        <v>918397.10972374049</v>
      </c>
      <c r="Y38" s="127">
        <f t="shared" si="15"/>
        <v>918397.10972374049</v>
      </c>
      <c r="Z38" s="127">
        <f t="shared" si="15"/>
        <v>918397.10972374049</v>
      </c>
      <c r="AA38" s="127">
        <f t="shared" si="15"/>
        <v>918397.10972374049</v>
      </c>
    </row>
    <row r="39" spans="1:27" x14ac:dyDescent="0.35">
      <c r="B39" t="s">
        <v>141</v>
      </c>
      <c r="C39" s="127">
        <f t="shared" ref="C39:Z39" si="16">+C37+C38</f>
        <v>0</v>
      </c>
      <c r="D39" s="127">
        <f t="shared" si="16"/>
        <v>187500</v>
      </c>
      <c r="E39" s="127">
        <f t="shared" si="16"/>
        <v>434652.5</v>
      </c>
      <c r="F39" s="127">
        <f t="shared" si="16"/>
        <v>876876.58125000005</v>
      </c>
      <c r="G39" s="127">
        <f t="shared" si="16"/>
        <v>1443697.0012025</v>
      </c>
      <c r="H39" s="127">
        <f t="shared" si="16"/>
        <v>2755191.3291712217</v>
      </c>
      <c r="I39" s="127">
        <f t="shared" si="16"/>
        <v>2663351.6181988474</v>
      </c>
      <c r="J39" s="127">
        <f t="shared" si="16"/>
        <v>2571511.9072264731</v>
      </c>
      <c r="K39" s="127">
        <f t="shared" si="16"/>
        <v>2479672.1962540993</v>
      </c>
      <c r="L39" s="127">
        <f t="shared" si="16"/>
        <v>2387832.4852817254</v>
      </c>
      <c r="M39" s="127">
        <f t="shared" si="16"/>
        <v>2295992.7743093511</v>
      </c>
      <c r="N39" s="127">
        <f t="shared" si="16"/>
        <v>2204153.0633369768</v>
      </c>
      <c r="O39" s="127">
        <f t="shared" si="16"/>
        <v>2112313.3523646025</v>
      </c>
      <c r="P39" s="127">
        <f t="shared" si="16"/>
        <v>2020473.6413922287</v>
      </c>
      <c r="Q39" s="127">
        <f t="shared" si="16"/>
        <v>1928633.9304198546</v>
      </c>
      <c r="R39" s="127">
        <f t="shared" si="16"/>
        <v>1836794.2194474805</v>
      </c>
      <c r="S39" s="127">
        <f t="shared" si="16"/>
        <v>1744954.5084751064</v>
      </c>
      <c r="T39" s="127">
        <f t="shared" si="16"/>
        <v>1653114.7975027324</v>
      </c>
      <c r="U39" s="127">
        <f t="shared" si="16"/>
        <v>1561275.0865303583</v>
      </c>
      <c r="V39" s="127">
        <f t="shared" si="16"/>
        <v>1469435.3755579842</v>
      </c>
      <c r="W39" s="127">
        <f t="shared" si="16"/>
        <v>1377595.6645856104</v>
      </c>
      <c r="X39" s="127">
        <f t="shared" si="16"/>
        <v>1285755.9536132363</v>
      </c>
      <c r="Y39" s="127">
        <f t="shared" si="16"/>
        <v>1193916.2426408622</v>
      </c>
      <c r="Z39" s="127">
        <f t="shared" si="16"/>
        <v>1102076.5316684882</v>
      </c>
      <c r="AA39" s="127">
        <f t="shared" ref="AA39" si="17">+AA37+AA38</f>
        <v>1010236.8197237405</v>
      </c>
    </row>
    <row r="40" spans="1:27" x14ac:dyDescent="0.35">
      <c r="C40" s="83"/>
      <c r="D40" s="83"/>
      <c r="E40" s="83"/>
      <c r="F40" s="83"/>
    </row>
    <row r="41" spans="1:27" hidden="1" x14ac:dyDescent="0.35">
      <c r="B41" t="s">
        <v>127</v>
      </c>
    </row>
    <row r="42" spans="1:27" hidden="1" x14ac:dyDescent="0.35">
      <c r="A42" t="s">
        <v>196</v>
      </c>
      <c r="B42" s="128" t="str">
        <f>'Sensitivity 2'!E2</f>
        <v>Land Cost</v>
      </c>
    </row>
    <row r="43" spans="1:27" hidden="1" x14ac:dyDescent="0.35">
      <c r="B43" s="38" t="s">
        <v>66</v>
      </c>
      <c r="C43" s="57">
        <f t="shared" ref="C43:AA43" si="18">C3</f>
        <v>0</v>
      </c>
      <c r="D43" s="57">
        <f t="shared" si="18"/>
        <v>1</v>
      </c>
      <c r="E43" s="57">
        <f t="shared" si="18"/>
        <v>2</v>
      </c>
      <c r="F43" s="57">
        <f t="shared" si="18"/>
        <v>3</v>
      </c>
      <c r="G43" s="57">
        <f t="shared" si="18"/>
        <v>4</v>
      </c>
      <c r="H43" s="57">
        <f t="shared" si="18"/>
        <v>5</v>
      </c>
      <c r="I43" s="57">
        <f t="shared" si="18"/>
        <v>6</v>
      </c>
      <c r="J43" s="57">
        <f t="shared" si="18"/>
        <v>7</v>
      </c>
      <c r="K43" s="57">
        <f t="shared" si="18"/>
        <v>8</v>
      </c>
      <c r="L43" s="57">
        <f t="shared" si="18"/>
        <v>9</v>
      </c>
      <c r="M43" s="57">
        <f t="shared" si="18"/>
        <v>10</v>
      </c>
      <c r="N43" s="57">
        <f t="shared" si="18"/>
        <v>11</v>
      </c>
      <c r="O43" s="57">
        <f t="shared" si="18"/>
        <v>12</v>
      </c>
      <c r="P43" s="57">
        <f t="shared" si="18"/>
        <v>13</v>
      </c>
      <c r="Q43" s="57">
        <f t="shared" si="18"/>
        <v>14</v>
      </c>
      <c r="R43" s="57">
        <f t="shared" si="18"/>
        <v>15</v>
      </c>
      <c r="S43" s="57">
        <f t="shared" si="18"/>
        <v>16</v>
      </c>
      <c r="T43" s="57">
        <f t="shared" si="18"/>
        <v>17</v>
      </c>
      <c r="U43" s="57">
        <f t="shared" si="18"/>
        <v>18</v>
      </c>
      <c r="V43" s="57">
        <f t="shared" si="18"/>
        <v>19</v>
      </c>
      <c r="W43" s="57">
        <f t="shared" si="18"/>
        <v>20</v>
      </c>
      <c r="X43" s="57">
        <f t="shared" si="18"/>
        <v>21</v>
      </c>
      <c r="Y43" s="57">
        <f t="shared" si="18"/>
        <v>22</v>
      </c>
      <c r="Z43" s="57">
        <f t="shared" si="18"/>
        <v>23</v>
      </c>
      <c r="AA43" s="57">
        <f t="shared" si="18"/>
        <v>24</v>
      </c>
    </row>
    <row r="44" spans="1:27" hidden="1" x14ac:dyDescent="0.35">
      <c r="B44" s="3" t="str">
        <f t="shared" ref="B44:B72" si="19">B4</f>
        <v>Incomes</v>
      </c>
      <c r="C44" s="83">
        <f t="shared" ref="C44:AA44" si="20">C45</f>
        <v>0</v>
      </c>
      <c r="D44" s="83">
        <f t="shared" si="20"/>
        <v>0</v>
      </c>
      <c r="E44" s="83">
        <f t="shared" si="20"/>
        <v>0</v>
      </c>
      <c r="F44" s="83">
        <f t="shared" si="20"/>
        <v>0</v>
      </c>
      <c r="G44" s="83">
        <f t="shared" si="20"/>
        <v>0</v>
      </c>
      <c r="H44" s="83">
        <f t="shared" si="20"/>
        <v>371438</v>
      </c>
      <c r="I44" s="83">
        <f t="shared" si="20"/>
        <v>371438</v>
      </c>
      <c r="J44" s="83">
        <f t="shared" si="20"/>
        <v>371438</v>
      </c>
      <c r="K44" s="83">
        <f t="shared" si="20"/>
        <v>371438</v>
      </c>
      <c r="L44" s="83">
        <f t="shared" si="20"/>
        <v>371438</v>
      </c>
      <c r="M44" s="83">
        <f t="shared" si="20"/>
        <v>371438</v>
      </c>
      <c r="N44" s="83">
        <f t="shared" si="20"/>
        <v>371438</v>
      </c>
      <c r="O44" s="83">
        <f t="shared" si="20"/>
        <v>371438</v>
      </c>
      <c r="P44" s="83">
        <f t="shared" si="20"/>
        <v>492526</v>
      </c>
      <c r="Q44" s="83">
        <f t="shared" si="20"/>
        <v>371438</v>
      </c>
      <c r="R44" s="83">
        <f t="shared" si="20"/>
        <v>371438</v>
      </c>
      <c r="S44" s="83">
        <f t="shared" si="20"/>
        <v>371438</v>
      </c>
      <c r="T44" s="83">
        <f t="shared" si="20"/>
        <v>371438</v>
      </c>
      <c r="U44" s="83">
        <f t="shared" si="20"/>
        <v>371438</v>
      </c>
      <c r="V44" s="83">
        <f t="shared" si="20"/>
        <v>371438</v>
      </c>
      <c r="W44" s="83">
        <f t="shared" si="20"/>
        <v>371438</v>
      </c>
      <c r="X44" s="83">
        <f t="shared" si="20"/>
        <v>371438</v>
      </c>
      <c r="Y44" s="83">
        <f t="shared" si="20"/>
        <v>371438</v>
      </c>
      <c r="Z44" s="83">
        <f t="shared" si="20"/>
        <v>371438</v>
      </c>
      <c r="AA44" s="83">
        <f t="shared" si="20"/>
        <v>371438.05000000005</v>
      </c>
    </row>
    <row r="45" spans="1:27" hidden="1" x14ac:dyDescent="0.35">
      <c r="B45" s="69" t="str">
        <f t="shared" si="19"/>
        <v>Incremental Taxes</v>
      </c>
      <c r="C45" s="85">
        <f t="shared" ref="C45:AA45" si="21">C5</f>
        <v>0</v>
      </c>
      <c r="D45" s="85">
        <f t="shared" si="21"/>
        <v>0</v>
      </c>
      <c r="E45" s="85">
        <f t="shared" si="21"/>
        <v>0</v>
      </c>
      <c r="F45" s="85">
        <f t="shared" si="21"/>
        <v>0</v>
      </c>
      <c r="G45" s="85">
        <f t="shared" si="21"/>
        <v>0</v>
      </c>
      <c r="H45" s="85">
        <f t="shared" si="21"/>
        <v>371438</v>
      </c>
      <c r="I45" s="85">
        <f t="shared" si="21"/>
        <v>371438</v>
      </c>
      <c r="J45" s="85">
        <f t="shared" si="21"/>
        <v>371438</v>
      </c>
      <c r="K45" s="85">
        <f t="shared" si="21"/>
        <v>371438</v>
      </c>
      <c r="L45" s="85">
        <f t="shared" si="21"/>
        <v>371438</v>
      </c>
      <c r="M45" s="85">
        <f t="shared" si="21"/>
        <v>371438</v>
      </c>
      <c r="N45" s="85">
        <f t="shared" si="21"/>
        <v>371438</v>
      </c>
      <c r="O45" s="85">
        <f t="shared" si="21"/>
        <v>371438</v>
      </c>
      <c r="P45" s="85">
        <f t="shared" si="21"/>
        <v>492526</v>
      </c>
      <c r="Q45" s="85">
        <f t="shared" si="21"/>
        <v>371438</v>
      </c>
      <c r="R45" s="85">
        <f t="shared" si="21"/>
        <v>371438</v>
      </c>
      <c r="S45" s="85">
        <f t="shared" si="21"/>
        <v>371438</v>
      </c>
      <c r="T45" s="85">
        <f t="shared" si="21"/>
        <v>371438</v>
      </c>
      <c r="U45" s="85">
        <f t="shared" si="21"/>
        <v>371438</v>
      </c>
      <c r="V45" s="85">
        <f t="shared" si="21"/>
        <v>371438</v>
      </c>
      <c r="W45" s="85">
        <f t="shared" si="21"/>
        <v>371438</v>
      </c>
      <c r="X45" s="85">
        <f t="shared" si="21"/>
        <v>371438</v>
      </c>
      <c r="Y45" s="85">
        <f t="shared" si="21"/>
        <v>371438</v>
      </c>
      <c r="Z45" s="85">
        <f t="shared" si="21"/>
        <v>371438</v>
      </c>
      <c r="AA45" s="85">
        <f t="shared" si="21"/>
        <v>371438.05000000005</v>
      </c>
    </row>
    <row r="46" spans="1:27" hidden="1" x14ac:dyDescent="0.35">
      <c r="B46" s="3" t="str">
        <f t="shared" si="19"/>
        <v>Expenses</v>
      </c>
      <c r="C46" s="83">
        <f t="shared" ref="C46:AA46" si="22">C47+C48</f>
        <v>0</v>
      </c>
      <c r="D46" s="83">
        <f t="shared" si="22"/>
        <v>187500</v>
      </c>
      <c r="E46" s="83">
        <f t="shared" si="22"/>
        <v>434652.5</v>
      </c>
      <c r="F46" s="83">
        <f t="shared" si="22"/>
        <v>1509972.0966099999</v>
      </c>
      <c r="G46" s="83">
        <f t="shared" si="22"/>
        <v>4014064.7935640984</v>
      </c>
      <c r="H46" s="83">
        <f t="shared" si="22"/>
        <v>2847816.2078251997</v>
      </c>
      <c r="I46" s="83">
        <f t="shared" si="22"/>
        <v>2771141.8266784917</v>
      </c>
      <c r="J46" s="83">
        <f t="shared" si="22"/>
        <v>2694694.9254791681</v>
      </c>
      <c r="K46" s="83">
        <f t="shared" si="22"/>
        <v>2618478.9164264407</v>
      </c>
      <c r="L46" s="83">
        <f t="shared" si="22"/>
        <v>2542497.2629025076</v>
      </c>
      <c r="M46" s="83">
        <f t="shared" si="22"/>
        <v>2466753.4802403012</v>
      </c>
      <c r="N46" s="83">
        <f t="shared" si="22"/>
        <v>2391251.1365027474</v>
      </c>
      <c r="O46" s="83">
        <f t="shared" si="22"/>
        <v>2315993.8532737158</v>
      </c>
      <c r="P46" s="83">
        <f t="shared" si="22"/>
        <v>2964860.3721905053</v>
      </c>
      <c r="Q46" s="83">
        <f t="shared" si="22"/>
        <v>5105161.9939728081</v>
      </c>
      <c r="R46" s="83">
        <f t="shared" si="22"/>
        <v>2091729.4022341846</v>
      </c>
      <c r="S46" s="83">
        <f t="shared" si="22"/>
        <v>2017489.6756494672</v>
      </c>
      <c r="T46" s="83">
        <f t="shared" si="22"/>
        <v>1943513.9488305645</v>
      </c>
      <c r="U46" s="83">
        <f t="shared" si="22"/>
        <v>1869806.1817739638</v>
      </c>
      <c r="V46" s="83">
        <f t="shared" si="22"/>
        <v>1796370.3938761</v>
      </c>
      <c r="W46" s="83">
        <f t="shared" si="22"/>
        <v>1723210.6648243535</v>
      </c>
      <c r="X46" s="83">
        <f t="shared" si="22"/>
        <v>1650331.1355014166</v>
      </c>
      <c r="Y46" s="83">
        <f t="shared" si="22"/>
        <v>1577736.0089032212</v>
      </c>
      <c r="Z46" s="83">
        <f t="shared" si="22"/>
        <v>1505429.5510706385</v>
      </c>
      <c r="AA46" s="83">
        <f t="shared" si="22"/>
        <v>1433416.0910627791</v>
      </c>
    </row>
    <row r="47" spans="1:27" hidden="1" x14ac:dyDescent="0.35">
      <c r="B47" s="69" t="str">
        <f t="shared" si="19"/>
        <v>Interest Expense</v>
      </c>
      <c r="C47" s="85">
        <f t="shared" ref="C47:AA47" si="23">+C77</f>
        <v>0</v>
      </c>
      <c r="D47" s="85">
        <f t="shared" si="23"/>
        <v>187500</v>
      </c>
      <c r="E47" s="85">
        <f t="shared" si="23"/>
        <v>434652.5</v>
      </c>
      <c r="F47" s="85">
        <f t="shared" si="23"/>
        <v>876876.58125000005</v>
      </c>
      <c r="G47" s="85">
        <f t="shared" si="23"/>
        <v>1443697.0012025</v>
      </c>
      <c r="H47" s="85">
        <f t="shared" si="23"/>
        <v>1836794.219447481</v>
      </c>
      <c r="I47" s="85">
        <f t="shared" si="23"/>
        <v>1744954.5084751071</v>
      </c>
      <c r="J47" s="85">
        <f t="shared" si="23"/>
        <v>1653114.7975027328</v>
      </c>
      <c r="K47" s="85">
        <f t="shared" si="23"/>
        <v>1561275.0865303588</v>
      </c>
      <c r="L47" s="85">
        <f t="shared" si="23"/>
        <v>1469435.3755579847</v>
      </c>
      <c r="M47" s="85">
        <f t="shared" si="23"/>
        <v>1377595.6645856106</v>
      </c>
      <c r="N47" s="85">
        <f t="shared" si="23"/>
        <v>1285755.9536132365</v>
      </c>
      <c r="O47" s="85">
        <f t="shared" si="23"/>
        <v>1193916.2426408622</v>
      </c>
      <c r="P47" s="85">
        <f t="shared" si="23"/>
        <v>1102076.5316684882</v>
      </c>
      <c r="Q47" s="85">
        <f t="shared" si="23"/>
        <v>1010236.8206961141</v>
      </c>
      <c r="R47" s="85">
        <f t="shared" si="23"/>
        <v>918397.10972373991</v>
      </c>
      <c r="S47" s="85">
        <f t="shared" si="23"/>
        <v>826557.39875136595</v>
      </c>
      <c r="T47" s="85">
        <f t="shared" si="23"/>
        <v>734717.68777899188</v>
      </c>
      <c r="U47" s="85">
        <f t="shared" si="23"/>
        <v>642877.97680661781</v>
      </c>
      <c r="V47" s="85">
        <f t="shared" si="23"/>
        <v>551038.26583424385</v>
      </c>
      <c r="W47" s="85">
        <f t="shared" si="23"/>
        <v>459198.55486186978</v>
      </c>
      <c r="X47" s="85">
        <f t="shared" si="23"/>
        <v>367358.84388949577</v>
      </c>
      <c r="Y47" s="85">
        <f t="shared" si="23"/>
        <v>275519.13291712169</v>
      </c>
      <c r="Z47" s="85">
        <f t="shared" si="23"/>
        <v>183679.42194474768</v>
      </c>
      <c r="AA47" s="85">
        <f t="shared" si="23"/>
        <v>91839.71</v>
      </c>
    </row>
    <row r="48" spans="1:27" hidden="1" x14ac:dyDescent="0.35">
      <c r="B48" s="69" t="str">
        <f t="shared" si="19"/>
        <v>Operating Expenses</v>
      </c>
      <c r="C48" s="85">
        <f t="shared" ref="C48:AA48" si="24">SUM(C49:C51)</f>
        <v>0</v>
      </c>
      <c r="D48" s="85">
        <f t="shared" si="24"/>
        <v>0</v>
      </c>
      <c r="E48" s="85">
        <f t="shared" si="24"/>
        <v>0</v>
      </c>
      <c r="F48" s="85">
        <f t="shared" si="24"/>
        <v>633095.51535999984</v>
      </c>
      <c r="G48" s="85">
        <f t="shared" si="24"/>
        <v>2570367.7923615985</v>
      </c>
      <c r="H48" s="85">
        <f t="shared" si="24"/>
        <v>1011021.988377719</v>
      </c>
      <c r="I48" s="85">
        <f t="shared" si="24"/>
        <v>1026187.3182033846</v>
      </c>
      <c r="J48" s="85">
        <f t="shared" si="24"/>
        <v>1041580.1279764354</v>
      </c>
      <c r="K48" s="85">
        <f t="shared" si="24"/>
        <v>1057203.8298960817</v>
      </c>
      <c r="L48" s="85">
        <f t="shared" si="24"/>
        <v>1073061.8873445229</v>
      </c>
      <c r="M48" s="85">
        <f t="shared" si="24"/>
        <v>1089157.8156546906</v>
      </c>
      <c r="N48" s="85">
        <f t="shared" si="24"/>
        <v>1105495.1828895109</v>
      </c>
      <c r="O48" s="85">
        <f t="shared" si="24"/>
        <v>1122077.6106328536</v>
      </c>
      <c r="P48" s="85">
        <f t="shared" si="24"/>
        <v>1862783.8405220169</v>
      </c>
      <c r="Q48" s="85">
        <f t="shared" si="24"/>
        <v>4094925.173276694</v>
      </c>
      <c r="R48" s="85">
        <f t="shared" si="24"/>
        <v>1173332.2925104445</v>
      </c>
      <c r="S48" s="85">
        <f t="shared" si="24"/>
        <v>1190932.2768981012</v>
      </c>
      <c r="T48" s="85">
        <f t="shared" si="24"/>
        <v>1208796.2610515726</v>
      </c>
      <c r="U48" s="85">
        <f t="shared" si="24"/>
        <v>1226928.204967346</v>
      </c>
      <c r="V48" s="85">
        <f t="shared" si="24"/>
        <v>1245332.128041856</v>
      </c>
      <c r="W48" s="85">
        <f t="shared" si="24"/>
        <v>1264012.1099624839</v>
      </c>
      <c r="X48" s="85">
        <f t="shared" si="24"/>
        <v>1282972.2916119208</v>
      </c>
      <c r="Y48" s="85">
        <f t="shared" si="24"/>
        <v>1302216.8759860995</v>
      </c>
      <c r="Z48" s="85">
        <f t="shared" si="24"/>
        <v>1321750.1291258908</v>
      </c>
      <c r="AA48" s="85">
        <f t="shared" si="24"/>
        <v>1341576.3810627791</v>
      </c>
    </row>
    <row r="49" spans="2:27" hidden="1" x14ac:dyDescent="0.35">
      <c r="B49" s="129" t="str">
        <f t="shared" si="19"/>
        <v>Operation</v>
      </c>
      <c r="C49" s="85">
        <f t="shared" ref="C49:AA49" si="25">C9</f>
        <v>0</v>
      </c>
      <c r="D49" s="85">
        <f t="shared" si="25"/>
        <v>0</v>
      </c>
      <c r="E49" s="85">
        <f t="shared" si="25"/>
        <v>0</v>
      </c>
      <c r="F49" s="85">
        <f t="shared" si="25"/>
        <v>0</v>
      </c>
      <c r="G49" s="85">
        <f t="shared" si="25"/>
        <v>0</v>
      </c>
      <c r="H49" s="85">
        <f t="shared" si="25"/>
        <v>92624.878653978507</v>
      </c>
      <c r="I49" s="85">
        <f t="shared" si="25"/>
        <v>94014.251833788163</v>
      </c>
      <c r="J49" s="85">
        <f t="shared" si="25"/>
        <v>95424.465611294974</v>
      </c>
      <c r="K49" s="85">
        <f t="shared" si="25"/>
        <v>96855.832595464381</v>
      </c>
      <c r="L49" s="85">
        <f t="shared" si="25"/>
        <v>98308.670084396334</v>
      </c>
      <c r="M49" s="85">
        <f t="shared" si="25"/>
        <v>99783.30013566227</v>
      </c>
      <c r="N49" s="85">
        <f t="shared" si="25"/>
        <v>101280.0496376972</v>
      </c>
      <c r="O49" s="85">
        <f t="shared" si="25"/>
        <v>102799.25038226263</v>
      </c>
      <c r="P49" s="85">
        <f t="shared" si="25"/>
        <v>104341.23913799657</v>
      </c>
      <c r="Q49" s="85">
        <f t="shared" si="25"/>
        <v>105906.35772506648</v>
      </c>
      <c r="R49" s="85">
        <f t="shared" si="25"/>
        <v>107494.95309094246</v>
      </c>
      <c r="S49" s="85">
        <f t="shared" si="25"/>
        <v>109107.37738730659</v>
      </c>
      <c r="T49" s="85">
        <f t="shared" si="25"/>
        <v>110743.98804811617</v>
      </c>
      <c r="U49" s="85">
        <f t="shared" si="25"/>
        <v>112405.14786883791</v>
      </c>
      <c r="V49" s="85">
        <f t="shared" si="25"/>
        <v>114091.22508687047</v>
      </c>
      <c r="W49" s="85">
        <f t="shared" si="25"/>
        <v>115802.59346317349</v>
      </c>
      <c r="X49" s="85">
        <f t="shared" si="25"/>
        <v>117539.63236512108</v>
      </c>
      <c r="Y49" s="85">
        <f t="shared" si="25"/>
        <v>119302.72685059787</v>
      </c>
      <c r="Z49" s="85">
        <f t="shared" si="25"/>
        <v>121092.26775335683</v>
      </c>
      <c r="AA49" s="85">
        <f t="shared" si="25"/>
        <v>122908.65176965717</v>
      </c>
    </row>
    <row r="50" spans="2:27" hidden="1" x14ac:dyDescent="0.35">
      <c r="B50" s="129" t="str">
        <f t="shared" si="19"/>
        <v>Maintenance</v>
      </c>
      <c r="C50" s="85">
        <f t="shared" ref="C50:G50" si="26">C10</f>
        <v>0</v>
      </c>
      <c r="D50" s="85">
        <f t="shared" si="26"/>
        <v>0</v>
      </c>
      <c r="E50" s="85">
        <f t="shared" si="26"/>
        <v>0</v>
      </c>
      <c r="F50" s="85">
        <f t="shared" si="26"/>
        <v>0</v>
      </c>
      <c r="G50" s="85">
        <f t="shared" si="26"/>
        <v>0</v>
      </c>
      <c r="H50" s="85">
        <f>SUM(C57:G57)*0.05</f>
        <v>918397.10972374049</v>
      </c>
      <c r="I50" s="85">
        <f>H50*(1+'Sensitivity 2'!$D$5)</f>
        <v>932173.06636959652</v>
      </c>
      <c r="J50" s="85">
        <f>I50*(1+'Sensitivity 2'!$D$5)</f>
        <v>946155.66236514039</v>
      </c>
      <c r="K50" s="85">
        <f>J50*(1+'Sensitivity 2'!$D$5)</f>
        <v>960347.9973006174</v>
      </c>
      <c r="L50" s="85">
        <f>K50*(1+'Sensitivity 2'!$D$5)</f>
        <v>974753.21726012661</v>
      </c>
      <c r="M50" s="85">
        <f>L50*(1+'Sensitivity 2'!$D$5)</f>
        <v>989374.51551902841</v>
      </c>
      <c r="N50" s="85">
        <f>M50*(1+'Sensitivity 2'!$D$5)</f>
        <v>1004215.1332518137</v>
      </c>
      <c r="O50" s="85">
        <f>N50*(1+'Sensitivity 2'!$D$5)</f>
        <v>1019278.3602505908</v>
      </c>
      <c r="P50" s="85">
        <f>O50*(1+'Sensitivity 2'!$D$5)</f>
        <v>1034567.5356543496</v>
      </c>
      <c r="Q50" s="85">
        <f>P50*(1+'Sensitivity 2'!$D$5)</f>
        <v>1050086.0486891647</v>
      </c>
      <c r="R50" s="85">
        <f>Q50*(1+'Sensitivity 2'!$D$5)</f>
        <v>1065837.3394195021</v>
      </c>
      <c r="S50" s="85">
        <f>R50*(1+'Sensitivity 2'!$D$5)</f>
        <v>1081824.8995107946</v>
      </c>
      <c r="T50" s="85">
        <f>S50*(1+'Sensitivity 2'!$D$5)</f>
        <v>1098052.2730034564</v>
      </c>
      <c r="U50" s="85">
        <f>T50*(1+'Sensitivity 2'!$D$5)</f>
        <v>1114523.0570985081</v>
      </c>
      <c r="V50" s="85">
        <f>U50*(1+'Sensitivity 2'!$D$5)</f>
        <v>1131240.9029549856</v>
      </c>
      <c r="W50" s="85">
        <f>V50*(1+'Sensitivity 2'!$D$5)</f>
        <v>1148209.5164993103</v>
      </c>
      <c r="X50" s="85">
        <f>W50*(1+'Sensitivity 2'!$D$5)</f>
        <v>1165432.6592467998</v>
      </c>
      <c r="Y50" s="85">
        <f>X50*(1+'Sensitivity 2'!$D$5)</f>
        <v>1182914.1491355016</v>
      </c>
      <c r="Z50" s="85">
        <f>Y50*(1+'Sensitivity 2'!$D$5)</f>
        <v>1200657.861372534</v>
      </c>
      <c r="AA50" s="85">
        <f>Z50*(1+'Sensitivity 2'!$D$5)</f>
        <v>1218667.729293122</v>
      </c>
    </row>
    <row r="51" spans="2:27" hidden="1" collapsed="1" x14ac:dyDescent="0.35">
      <c r="B51" s="129" t="str">
        <f t="shared" si="19"/>
        <v>Equipment Subsidy</v>
      </c>
      <c r="C51" s="85">
        <f t="shared" ref="C51:Z51" si="27">+SUM(C52:C56)</f>
        <v>0</v>
      </c>
      <c r="D51" s="85">
        <f t="shared" si="27"/>
        <v>0</v>
      </c>
      <c r="E51" s="85">
        <f t="shared" si="27"/>
        <v>0</v>
      </c>
      <c r="F51" s="85">
        <f t="shared" si="27"/>
        <v>633095.51535999984</v>
      </c>
      <c r="G51" s="85">
        <f t="shared" si="27"/>
        <v>2570367.7923615985</v>
      </c>
      <c r="H51" s="85">
        <f t="shared" si="27"/>
        <v>0</v>
      </c>
      <c r="I51" s="85">
        <f t="shared" si="27"/>
        <v>0</v>
      </c>
      <c r="J51" s="85">
        <f t="shared" si="27"/>
        <v>0</v>
      </c>
      <c r="K51" s="85">
        <f t="shared" si="27"/>
        <v>0</v>
      </c>
      <c r="L51" s="85">
        <f t="shared" si="27"/>
        <v>0</v>
      </c>
      <c r="M51" s="85">
        <f t="shared" si="27"/>
        <v>0</v>
      </c>
      <c r="N51" s="85">
        <f t="shared" si="27"/>
        <v>0</v>
      </c>
      <c r="O51" s="85">
        <f t="shared" si="27"/>
        <v>0</v>
      </c>
      <c r="P51" s="85">
        <f t="shared" si="27"/>
        <v>723875.06572967069</v>
      </c>
      <c r="Q51" s="85">
        <f t="shared" si="27"/>
        <v>2938932.7668624627</v>
      </c>
      <c r="R51" s="85">
        <f t="shared" si="27"/>
        <v>0</v>
      </c>
      <c r="S51" s="85">
        <f t="shared" si="27"/>
        <v>0</v>
      </c>
      <c r="T51" s="85">
        <f t="shared" si="27"/>
        <v>0</v>
      </c>
      <c r="U51" s="85">
        <f t="shared" si="27"/>
        <v>0</v>
      </c>
      <c r="V51" s="85">
        <f t="shared" si="27"/>
        <v>0</v>
      </c>
      <c r="W51" s="85">
        <f t="shared" si="27"/>
        <v>0</v>
      </c>
      <c r="X51" s="85">
        <f t="shared" si="27"/>
        <v>0</v>
      </c>
      <c r="Y51" s="85">
        <f t="shared" si="27"/>
        <v>0</v>
      </c>
      <c r="Z51" s="85">
        <f t="shared" si="27"/>
        <v>0</v>
      </c>
      <c r="AA51" s="85">
        <f t="shared" ref="AA51" si="28">+SUM(AA52:AA56)</f>
        <v>0</v>
      </c>
    </row>
    <row r="52" spans="2:27" hidden="1" outlineLevel="1" x14ac:dyDescent="0.35">
      <c r="B52" s="133" t="str">
        <f t="shared" si="19"/>
        <v>Tractors</v>
      </c>
      <c r="C52" s="85">
        <f t="shared" ref="C52:AA52" si="29">C12</f>
        <v>0</v>
      </c>
      <c r="D52" s="85">
        <f t="shared" si="29"/>
        <v>0</v>
      </c>
      <c r="E52" s="85">
        <f t="shared" si="29"/>
        <v>0</v>
      </c>
      <c r="F52" s="85">
        <f t="shared" si="29"/>
        <v>122302.54273999996</v>
      </c>
      <c r="G52" s="85">
        <f t="shared" si="29"/>
        <v>496548.32352439972</v>
      </c>
      <c r="H52" s="85">
        <f t="shared" si="29"/>
        <v>0</v>
      </c>
      <c r="I52" s="85">
        <f t="shared" si="29"/>
        <v>0</v>
      </c>
      <c r="J52" s="85">
        <f t="shared" si="29"/>
        <v>0</v>
      </c>
      <c r="K52" s="85">
        <f t="shared" si="29"/>
        <v>0</v>
      </c>
      <c r="L52" s="85">
        <f t="shared" si="29"/>
        <v>0</v>
      </c>
      <c r="M52" s="85">
        <f t="shared" si="29"/>
        <v>0</v>
      </c>
      <c r="N52" s="85">
        <f t="shared" si="29"/>
        <v>0</v>
      </c>
      <c r="O52" s="85">
        <f t="shared" si="29"/>
        <v>0</v>
      </c>
      <c r="P52" s="85">
        <f t="shared" si="29"/>
        <v>139839.50133414092</v>
      </c>
      <c r="Q52" s="85">
        <f t="shared" si="29"/>
        <v>567748.37541661214</v>
      </c>
      <c r="R52" s="85">
        <f t="shared" si="29"/>
        <v>0</v>
      </c>
      <c r="S52" s="85">
        <f t="shared" si="29"/>
        <v>0</v>
      </c>
      <c r="T52" s="85">
        <f t="shared" si="29"/>
        <v>0</v>
      </c>
      <c r="U52" s="85">
        <f t="shared" si="29"/>
        <v>0</v>
      </c>
      <c r="V52" s="85">
        <f t="shared" si="29"/>
        <v>0</v>
      </c>
      <c r="W52" s="85">
        <f t="shared" si="29"/>
        <v>0</v>
      </c>
      <c r="X52" s="85">
        <f t="shared" si="29"/>
        <v>0</v>
      </c>
      <c r="Y52" s="85">
        <f t="shared" si="29"/>
        <v>0</v>
      </c>
      <c r="Z52" s="85">
        <f t="shared" si="29"/>
        <v>0</v>
      </c>
      <c r="AA52" s="85">
        <f t="shared" si="29"/>
        <v>0</v>
      </c>
    </row>
    <row r="53" spans="2:27" hidden="1" outlineLevel="1" x14ac:dyDescent="0.35">
      <c r="B53" s="133" t="str">
        <f t="shared" si="19"/>
        <v>Vertical tillage tools</v>
      </c>
      <c r="C53" s="85">
        <f t="shared" ref="C53:AA53" si="30">C13</f>
        <v>0</v>
      </c>
      <c r="D53" s="85">
        <f t="shared" si="30"/>
        <v>0</v>
      </c>
      <c r="E53" s="85">
        <f t="shared" si="30"/>
        <v>0</v>
      </c>
      <c r="F53" s="85">
        <f t="shared" si="30"/>
        <v>68345.538589999967</v>
      </c>
      <c r="G53" s="85">
        <f t="shared" si="30"/>
        <v>277482.88667539984</v>
      </c>
      <c r="H53" s="85">
        <f t="shared" si="30"/>
        <v>0</v>
      </c>
      <c r="I53" s="85">
        <f t="shared" si="30"/>
        <v>0</v>
      </c>
      <c r="J53" s="85">
        <f t="shared" si="30"/>
        <v>0</v>
      </c>
      <c r="K53" s="85">
        <f t="shared" si="30"/>
        <v>0</v>
      </c>
      <c r="L53" s="85">
        <f t="shared" si="30"/>
        <v>0</v>
      </c>
      <c r="M53" s="85">
        <f t="shared" si="30"/>
        <v>0</v>
      </c>
      <c r="N53" s="85">
        <f t="shared" si="30"/>
        <v>0</v>
      </c>
      <c r="O53" s="85">
        <f t="shared" si="30"/>
        <v>0</v>
      </c>
      <c r="P53" s="85">
        <f t="shared" si="30"/>
        <v>78145.603686725808</v>
      </c>
      <c r="Q53" s="85">
        <f t="shared" si="30"/>
        <v>317271.15096810681</v>
      </c>
      <c r="R53" s="85">
        <f t="shared" si="30"/>
        <v>0</v>
      </c>
      <c r="S53" s="85">
        <f t="shared" si="30"/>
        <v>0</v>
      </c>
      <c r="T53" s="85">
        <f t="shared" si="30"/>
        <v>0</v>
      </c>
      <c r="U53" s="85">
        <f t="shared" si="30"/>
        <v>0</v>
      </c>
      <c r="V53" s="85">
        <f t="shared" si="30"/>
        <v>0</v>
      </c>
      <c r="W53" s="85">
        <f t="shared" si="30"/>
        <v>0</v>
      </c>
      <c r="X53" s="85">
        <f t="shared" si="30"/>
        <v>0</v>
      </c>
      <c r="Y53" s="85">
        <f t="shared" si="30"/>
        <v>0</v>
      </c>
      <c r="Z53" s="85">
        <f t="shared" si="30"/>
        <v>0</v>
      </c>
      <c r="AA53" s="85">
        <f t="shared" si="30"/>
        <v>0</v>
      </c>
    </row>
    <row r="54" spans="2:27" hidden="1" outlineLevel="1" x14ac:dyDescent="0.35">
      <c r="B54" s="133" t="str">
        <f t="shared" si="19"/>
        <v>12-row planter</v>
      </c>
      <c r="C54" s="85">
        <f t="shared" ref="C54:AA54" si="31">C14</f>
        <v>0</v>
      </c>
      <c r="D54" s="85">
        <f t="shared" si="31"/>
        <v>0</v>
      </c>
      <c r="E54" s="85">
        <f t="shared" si="31"/>
        <v>0</v>
      </c>
      <c r="F54" s="85">
        <f t="shared" si="31"/>
        <v>93525.473859999969</v>
      </c>
      <c r="G54" s="85">
        <f t="shared" si="31"/>
        <v>379713.42387159978</v>
      </c>
      <c r="H54" s="85">
        <f t="shared" si="31"/>
        <v>0</v>
      </c>
      <c r="I54" s="85">
        <f t="shared" si="31"/>
        <v>0</v>
      </c>
      <c r="J54" s="85">
        <f t="shared" si="31"/>
        <v>0</v>
      </c>
      <c r="K54" s="85">
        <f t="shared" si="31"/>
        <v>0</v>
      </c>
      <c r="L54" s="85">
        <f t="shared" si="31"/>
        <v>0</v>
      </c>
      <c r="M54" s="85">
        <f t="shared" si="31"/>
        <v>0</v>
      </c>
      <c r="N54" s="85">
        <f t="shared" si="31"/>
        <v>0</v>
      </c>
      <c r="O54" s="85">
        <f t="shared" si="31"/>
        <v>0</v>
      </c>
      <c r="P54" s="85">
        <f t="shared" si="31"/>
        <v>106936.08925551953</v>
      </c>
      <c r="Q54" s="85">
        <f t="shared" si="31"/>
        <v>434160.52237740927</v>
      </c>
      <c r="R54" s="85">
        <f t="shared" si="31"/>
        <v>0</v>
      </c>
      <c r="S54" s="85">
        <f t="shared" si="31"/>
        <v>0</v>
      </c>
      <c r="T54" s="85">
        <f t="shared" si="31"/>
        <v>0</v>
      </c>
      <c r="U54" s="85">
        <f t="shared" si="31"/>
        <v>0</v>
      </c>
      <c r="V54" s="85">
        <f t="shared" si="31"/>
        <v>0</v>
      </c>
      <c r="W54" s="85">
        <f t="shared" si="31"/>
        <v>0</v>
      </c>
      <c r="X54" s="85">
        <f t="shared" si="31"/>
        <v>0</v>
      </c>
      <c r="Y54" s="85">
        <f t="shared" si="31"/>
        <v>0</v>
      </c>
      <c r="Z54" s="85">
        <f t="shared" si="31"/>
        <v>0</v>
      </c>
      <c r="AA54" s="85">
        <f t="shared" si="31"/>
        <v>0</v>
      </c>
    </row>
    <row r="55" spans="2:27" hidden="1" outlineLevel="1" x14ac:dyDescent="0.35">
      <c r="B55" s="133" t="str">
        <f t="shared" si="19"/>
        <v>Manure spreader</v>
      </c>
      <c r="C55" s="85">
        <f t="shared" ref="C55:AA55" si="32">C15</f>
        <v>0</v>
      </c>
      <c r="D55" s="85">
        <f t="shared" si="32"/>
        <v>0</v>
      </c>
      <c r="E55" s="85">
        <f t="shared" si="32"/>
        <v>0</v>
      </c>
      <c r="F55" s="85">
        <f t="shared" si="32"/>
        <v>46762.736929999985</v>
      </c>
      <c r="G55" s="85">
        <f t="shared" si="32"/>
        <v>189856.71193579989</v>
      </c>
      <c r="H55" s="85">
        <f t="shared" si="32"/>
        <v>0</v>
      </c>
      <c r="I55" s="85">
        <f t="shared" si="32"/>
        <v>0</v>
      </c>
      <c r="J55" s="85">
        <f t="shared" si="32"/>
        <v>0</v>
      </c>
      <c r="K55" s="85">
        <f t="shared" si="32"/>
        <v>0</v>
      </c>
      <c r="L55" s="85">
        <f t="shared" si="32"/>
        <v>0</v>
      </c>
      <c r="M55" s="85">
        <f t="shared" si="32"/>
        <v>0</v>
      </c>
      <c r="N55" s="85">
        <f t="shared" si="32"/>
        <v>0</v>
      </c>
      <c r="O55" s="85">
        <f t="shared" si="32"/>
        <v>0</v>
      </c>
      <c r="P55" s="85">
        <f t="shared" si="32"/>
        <v>53468.044627759766</v>
      </c>
      <c r="Q55" s="85">
        <f t="shared" si="32"/>
        <v>217080.26118870464</v>
      </c>
      <c r="R55" s="85">
        <f t="shared" si="32"/>
        <v>0</v>
      </c>
      <c r="S55" s="85">
        <f t="shared" si="32"/>
        <v>0</v>
      </c>
      <c r="T55" s="85">
        <f t="shared" si="32"/>
        <v>0</v>
      </c>
      <c r="U55" s="85">
        <f t="shared" si="32"/>
        <v>0</v>
      </c>
      <c r="V55" s="85">
        <f t="shared" si="32"/>
        <v>0</v>
      </c>
      <c r="W55" s="85">
        <f t="shared" si="32"/>
        <v>0</v>
      </c>
      <c r="X55" s="85">
        <f t="shared" si="32"/>
        <v>0</v>
      </c>
      <c r="Y55" s="85">
        <f t="shared" si="32"/>
        <v>0</v>
      </c>
      <c r="Z55" s="85">
        <f t="shared" si="32"/>
        <v>0</v>
      </c>
      <c r="AA55" s="85">
        <f t="shared" si="32"/>
        <v>0</v>
      </c>
    </row>
    <row r="56" spans="2:27" hidden="1" outlineLevel="1" x14ac:dyDescent="0.35">
      <c r="B56" s="133" t="str">
        <f t="shared" si="19"/>
        <v>Harvesters</v>
      </c>
      <c r="C56" s="85">
        <f t="shared" ref="C56:AA56" si="33">C16</f>
        <v>0</v>
      </c>
      <c r="D56" s="85">
        <f t="shared" si="33"/>
        <v>0</v>
      </c>
      <c r="E56" s="85">
        <f t="shared" si="33"/>
        <v>0</v>
      </c>
      <c r="F56" s="85">
        <f t="shared" si="33"/>
        <v>302159.2232399999</v>
      </c>
      <c r="G56" s="85">
        <f t="shared" si="33"/>
        <v>1226766.4463543994</v>
      </c>
      <c r="H56" s="85">
        <f t="shared" si="33"/>
        <v>0</v>
      </c>
      <c r="I56" s="85">
        <f t="shared" si="33"/>
        <v>0</v>
      </c>
      <c r="J56" s="85">
        <f t="shared" si="33"/>
        <v>0</v>
      </c>
      <c r="K56" s="85">
        <f t="shared" si="33"/>
        <v>0</v>
      </c>
      <c r="L56" s="85">
        <f t="shared" si="33"/>
        <v>0</v>
      </c>
      <c r="M56" s="85">
        <f t="shared" si="33"/>
        <v>0</v>
      </c>
      <c r="N56" s="85">
        <f t="shared" si="33"/>
        <v>0</v>
      </c>
      <c r="O56" s="85">
        <f t="shared" si="33"/>
        <v>0</v>
      </c>
      <c r="P56" s="85">
        <f t="shared" si="33"/>
        <v>345485.82682552468</v>
      </c>
      <c r="Q56" s="85">
        <f t="shared" si="33"/>
        <v>1402672.45691163</v>
      </c>
      <c r="R56" s="85">
        <f t="shared" si="33"/>
        <v>0</v>
      </c>
      <c r="S56" s="85">
        <f t="shared" si="33"/>
        <v>0</v>
      </c>
      <c r="T56" s="85">
        <f t="shared" si="33"/>
        <v>0</v>
      </c>
      <c r="U56" s="85">
        <f t="shared" si="33"/>
        <v>0</v>
      </c>
      <c r="V56" s="85">
        <f t="shared" si="33"/>
        <v>0</v>
      </c>
      <c r="W56" s="85">
        <f t="shared" si="33"/>
        <v>0</v>
      </c>
      <c r="X56" s="85">
        <f t="shared" si="33"/>
        <v>0</v>
      </c>
      <c r="Y56" s="85">
        <f t="shared" si="33"/>
        <v>0</v>
      </c>
      <c r="Z56" s="85">
        <f t="shared" si="33"/>
        <v>0</v>
      </c>
      <c r="AA56" s="85">
        <f t="shared" si="33"/>
        <v>0</v>
      </c>
    </row>
    <row r="57" spans="2:27" hidden="1" x14ac:dyDescent="0.35">
      <c r="B57" s="3" t="str">
        <f t="shared" si="19"/>
        <v>Gross Capital Formation</v>
      </c>
      <c r="C57" s="83">
        <f t="shared" ref="C57:AA57" si="34">C58+C59</f>
        <v>1875000</v>
      </c>
      <c r="D57" s="83">
        <f t="shared" si="34"/>
        <v>2471524.9999999995</v>
      </c>
      <c r="E57" s="83">
        <f t="shared" si="34"/>
        <v>4422240.8124999991</v>
      </c>
      <c r="F57" s="83">
        <f t="shared" ref="F57:G57" si="35">F58+F59</f>
        <v>5668204.1995249977</v>
      </c>
      <c r="G57" s="83">
        <f t="shared" si="35"/>
        <v>3930972.1824498107</v>
      </c>
      <c r="H57" s="83">
        <f t="shared" si="34"/>
        <v>0</v>
      </c>
      <c r="I57" s="83">
        <f t="shared" si="34"/>
        <v>0</v>
      </c>
      <c r="J57" s="83">
        <f t="shared" si="34"/>
        <v>0</v>
      </c>
      <c r="K57" s="83">
        <f t="shared" si="34"/>
        <v>0</v>
      </c>
      <c r="L57" s="83">
        <f t="shared" si="34"/>
        <v>0</v>
      </c>
      <c r="M57" s="83">
        <f t="shared" si="34"/>
        <v>0</v>
      </c>
      <c r="N57" s="83">
        <f t="shared" si="34"/>
        <v>0</v>
      </c>
      <c r="O57" s="83">
        <f t="shared" si="34"/>
        <v>0</v>
      </c>
      <c r="P57" s="83">
        <f t="shared" si="34"/>
        <v>0</v>
      </c>
      <c r="Q57" s="83">
        <f t="shared" si="34"/>
        <v>0</v>
      </c>
      <c r="R57" s="83">
        <f t="shared" si="34"/>
        <v>0</v>
      </c>
      <c r="S57" s="83">
        <f t="shared" si="34"/>
        <v>0</v>
      </c>
      <c r="T57" s="83">
        <f t="shared" si="34"/>
        <v>0</v>
      </c>
      <c r="U57" s="83">
        <f t="shared" si="34"/>
        <v>0</v>
      </c>
      <c r="V57" s="83">
        <f t="shared" si="34"/>
        <v>0</v>
      </c>
      <c r="W57" s="83">
        <f t="shared" si="34"/>
        <v>0</v>
      </c>
      <c r="X57" s="83">
        <f t="shared" si="34"/>
        <v>0</v>
      </c>
      <c r="Y57" s="83">
        <f t="shared" si="34"/>
        <v>0</v>
      </c>
      <c r="Z57" s="83">
        <f t="shared" si="34"/>
        <v>0</v>
      </c>
      <c r="AA57" s="83">
        <f t="shared" si="34"/>
        <v>0</v>
      </c>
    </row>
    <row r="58" spans="2:27" hidden="1" x14ac:dyDescent="0.35">
      <c r="B58" s="69" t="str">
        <f t="shared" si="19"/>
        <v>Studies</v>
      </c>
      <c r="C58" s="85">
        <f t="shared" ref="C58:AA58" si="36">C18</f>
        <v>1875000</v>
      </c>
      <c r="D58" s="85">
        <f t="shared" si="36"/>
        <v>0</v>
      </c>
      <c r="E58" s="85">
        <f t="shared" si="36"/>
        <v>0</v>
      </c>
      <c r="F58" s="85">
        <f t="shared" si="36"/>
        <v>0</v>
      </c>
      <c r="G58" s="85">
        <f t="shared" si="36"/>
        <v>0</v>
      </c>
      <c r="H58" s="85">
        <f t="shared" si="36"/>
        <v>0</v>
      </c>
      <c r="I58" s="85">
        <f t="shared" si="36"/>
        <v>0</v>
      </c>
      <c r="J58" s="85">
        <f t="shared" si="36"/>
        <v>0</v>
      </c>
      <c r="K58" s="85">
        <f t="shared" si="36"/>
        <v>0</v>
      </c>
      <c r="L58" s="85">
        <f t="shared" si="36"/>
        <v>0</v>
      </c>
      <c r="M58" s="85">
        <f t="shared" si="36"/>
        <v>0</v>
      </c>
      <c r="N58" s="85">
        <f t="shared" si="36"/>
        <v>0</v>
      </c>
      <c r="O58" s="85">
        <f t="shared" si="36"/>
        <v>0</v>
      </c>
      <c r="P58" s="85">
        <f t="shared" si="36"/>
        <v>0</v>
      </c>
      <c r="Q58" s="85">
        <f t="shared" si="36"/>
        <v>0</v>
      </c>
      <c r="R58" s="85">
        <f t="shared" si="36"/>
        <v>0</v>
      </c>
      <c r="S58" s="85">
        <f t="shared" si="36"/>
        <v>0</v>
      </c>
      <c r="T58" s="85">
        <f t="shared" si="36"/>
        <v>0</v>
      </c>
      <c r="U58" s="85">
        <f t="shared" si="36"/>
        <v>0</v>
      </c>
      <c r="V58" s="85">
        <f t="shared" si="36"/>
        <v>0</v>
      </c>
      <c r="W58" s="85">
        <f t="shared" si="36"/>
        <v>0</v>
      </c>
      <c r="X58" s="85">
        <f t="shared" si="36"/>
        <v>0</v>
      </c>
      <c r="Y58" s="85">
        <f t="shared" si="36"/>
        <v>0</v>
      </c>
      <c r="Z58" s="85">
        <f t="shared" si="36"/>
        <v>0</v>
      </c>
      <c r="AA58" s="85">
        <f t="shared" si="36"/>
        <v>0</v>
      </c>
    </row>
    <row r="59" spans="2:27" hidden="1" collapsed="1" x14ac:dyDescent="0.35">
      <c r="B59" s="69" t="str">
        <f t="shared" si="19"/>
        <v>Infrastructure</v>
      </c>
      <c r="C59" s="85">
        <f t="shared" ref="C59:E59" si="37">+SUM(C60:C71)</f>
        <v>0</v>
      </c>
      <c r="D59" s="85">
        <f t="shared" si="37"/>
        <v>2471524.9999999995</v>
      </c>
      <c r="E59" s="85">
        <f t="shared" si="37"/>
        <v>4422240.8124999991</v>
      </c>
      <c r="F59" s="85">
        <f t="shared" ref="F59:AA59" si="38">+SUM(F60:F71)</f>
        <v>5668204.1995249977</v>
      </c>
      <c r="G59" s="85">
        <f t="shared" si="38"/>
        <v>3930972.1824498107</v>
      </c>
      <c r="H59" s="85">
        <f t="shared" si="38"/>
        <v>0</v>
      </c>
      <c r="I59" s="85">
        <f t="shared" si="38"/>
        <v>0</v>
      </c>
      <c r="J59" s="85">
        <f t="shared" si="38"/>
        <v>0</v>
      </c>
      <c r="K59" s="85">
        <f t="shared" si="38"/>
        <v>0</v>
      </c>
      <c r="L59" s="85">
        <f t="shared" si="38"/>
        <v>0</v>
      </c>
      <c r="M59" s="85">
        <f t="shared" si="38"/>
        <v>0</v>
      </c>
      <c r="N59" s="85">
        <f t="shared" si="38"/>
        <v>0</v>
      </c>
      <c r="O59" s="85">
        <f t="shared" si="38"/>
        <v>0</v>
      </c>
      <c r="P59" s="85">
        <f t="shared" si="38"/>
        <v>0</v>
      </c>
      <c r="Q59" s="85">
        <f t="shared" si="38"/>
        <v>0</v>
      </c>
      <c r="R59" s="85">
        <f t="shared" si="38"/>
        <v>0</v>
      </c>
      <c r="S59" s="85">
        <f t="shared" si="38"/>
        <v>0</v>
      </c>
      <c r="T59" s="85">
        <f t="shared" si="38"/>
        <v>0</v>
      </c>
      <c r="U59" s="85">
        <f t="shared" si="38"/>
        <v>0</v>
      </c>
      <c r="V59" s="85">
        <f t="shared" si="38"/>
        <v>0</v>
      </c>
      <c r="W59" s="85">
        <f t="shared" si="38"/>
        <v>0</v>
      </c>
      <c r="X59" s="85">
        <f t="shared" si="38"/>
        <v>0</v>
      </c>
      <c r="Y59" s="85">
        <f t="shared" si="38"/>
        <v>0</v>
      </c>
      <c r="Z59" s="85">
        <f t="shared" si="38"/>
        <v>0</v>
      </c>
      <c r="AA59" s="85">
        <f t="shared" si="38"/>
        <v>0</v>
      </c>
    </row>
    <row r="60" spans="2:27" hidden="1" outlineLevel="1" x14ac:dyDescent="0.35">
      <c r="B60" s="126" t="str">
        <f t="shared" si="19"/>
        <v>Land adquisition</v>
      </c>
      <c r="C60" s="85">
        <f>'Sensitivity 2'!$E$7*'Project Assumptions'!$E$158*'Project Assumptions'!G$15*(1+'Sensitivity 2'!$D$5)^'Government Impact_baseline'!C$43</f>
        <v>0</v>
      </c>
      <c r="D60" s="85">
        <f>'Sensitivity 2'!$E$7*'Project Assumptions'!$E$15*'Project Assumptions'!H$15*(1+'Sensitivity 2'!$D$5)^'Government Impact_baseline'!D$43</f>
        <v>2029999.9999999998</v>
      </c>
      <c r="E60" s="85">
        <f>'Sensitivity 2'!$E$7*'Project Assumptions'!$E$15*'Project Assumptions'!I$15*(1+'Sensitivity 2'!$D$5)^'Government Impact_baseline'!E$43</f>
        <v>0</v>
      </c>
      <c r="F60" s="85">
        <f>'Sensitivity 2'!$E$7*'Project Assumptions'!$E$15*'Project Assumptions'!J$15*(1+'Sensitivity 2'!$D$5)^'Government Impact_baseline'!F$43</f>
        <v>0</v>
      </c>
      <c r="G60" s="85">
        <f>'Sensitivity 2'!$E$7*'Project Assumptions'!$E$15*'Project Assumptions'!K$15*(1+'Sensitivity 2'!$D$5)^'Government Impact_baseline'!G$43</f>
        <v>0</v>
      </c>
      <c r="H60" s="85">
        <f>'Sensitivity 2'!$E$7*'Project Assumptions'!$E$15*'Project Assumptions'!L$15*(1+'Sensitivity 2'!$D$5)^'Government Impact_baseline'!H$43</f>
        <v>0</v>
      </c>
      <c r="I60" s="85">
        <f>'Sensitivity 2'!$E$7*'Project Assumptions'!$E$15*'Project Assumptions'!M$15*(1+'Sensitivity 2'!$D$5)^'Government Impact_baseline'!I$43</f>
        <v>0</v>
      </c>
      <c r="J60" s="85">
        <f>'Sensitivity 2'!$E$7*'Project Assumptions'!$E$15*'Project Assumptions'!N$15*(1+'Sensitivity 2'!$D$5)^'Government Impact_baseline'!J$43</f>
        <v>0</v>
      </c>
      <c r="K60" s="85">
        <f>'Sensitivity 2'!$E$7*'Project Assumptions'!$E$15*'Project Assumptions'!O$15*(1+'Sensitivity 2'!$D$5)^'Government Impact_baseline'!K$43</f>
        <v>0</v>
      </c>
      <c r="L60" s="85">
        <f>'Sensitivity 2'!$E$7*'Project Assumptions'!$E$15*'Project Assumptions'!P$15*(1+'Sensitivity 2'!$D$5)^'Government Impact_baseline'!L$43</f>
        <v>0</v>
      </c>
      <c r="M60" s="85">
        <f>'Sensitivity 2'!$E$7*'Project Assumptions'!$E$15*'Project Assumptions'!Q$15*(1+'Sensitivity 2'!$D$5)^'Government Impact_baseline'!M$43</f>
        <v>0</v>
      </c>
      <c r="N60" s="85">
        <f>'Sensitivity 2'!$E$7*'Project Assumptions'!$E$15*'Project Assumptions'!R$15*(1+'Sensitivity 2'!$D$5)^'Government Impact_baseline'!N$43</f>
        <v>0</v>
      </c>
      <c r="O60" s="85">
        <f>'Sensitivity 2'!$E$7*'Project Assumptions'!$E$15*'Project Assumptions'!S$15*(1+'Sensitivity 2'!$D$5)^'Government Impact_baseline'!O$43</f>
        <v>0</v>
      </c>
      <c r="P60" s="85">
        <f>'Sensitivity 2'!$E$7*'Project Assumptions'!$E$15*'Project Assumptions'!T$15*(1+'Sensitivity 2'!$D$5)^'Government Impact_baseline'!P$43</f>
        <v>0</v>
      </c>
      <c r="Q60" s="85">
        <f>'Sensitivity 2'!$E$7*'Project Assumptions'!$E$15*'Project Assumptions'!U$15*(1+'Sensitivity 2'!$D$5)^'Government Impact_baseline'!Q$43</f>
        <v>0</v>
      </c>
      <c r="R60" s="85">
        <f>'Sensitivity 2'!$E$7*'Project Assumptions'!$E$15*'Project Assumptions'!V$15*(1+'Sensitivity 2'!$D$5)^'Government Impact_baseline'!R$43</f>
        <v>0</v>
      </c>
      <c r="S60" s="85">
        <f>'Sensitivity 2'!$E$7*'Project Assumptions'!$E$15*'Project Assumptions'!W$15*(1+'Sensitivity 2'!$D$5)^'Government Impact_baseline'!S$43</f>
        <v>0</v>
      </c>
      <c r="T60" s="85">
        <f>'Sensitivity 2'!$E$7*'Project Assumptions'!$E$15*'Project Assumptions'!X$15*(1+'Sensitivity 2'!$D$5)^'Government Impact_baseline'!T$43</f>
        <v>0</v>
      </c>
      <c r="U60" s="85">
        <f>'Sensitivity 2'!$E$7*'Project Assumptions'!$E$15*'Project Assumptions'!Y$15*(1+'Sensitivity 2'!$D$5)^'Government Impact_baseline'!U$43</f>
        <v>0</v>
      </c>
      <c r="V60" s="85">
        <f>'Sensitivity 2'!$E$7*'Project Assumptions'!$E$15*'Project Assumptions'!Z$15*(1+'Sensitivity 2'!$D$5)^'Government Impact_baseline'!V$43</f>
        <v>0</v>
      </c>
      <c r="W60" s="85">
        <f>'Sensitivity 2'!$E$7*'Project Assumptions'!$E$15*'Project Assumptions'!AA$15*(1+'Sensitivity 2'!$D$5)^'Government Impact_baseline'!W$43</f>
        <v>0</v>
      </c>
      <c r="X60" s="85">
        <f>'Sensitivity 2'!$E$7*'Project Assumptions'!$E$15*'Project Assumptions'!AB$15*(1+'Sensitivity 2'!$D$5)^'Government Impact_baseline'!X$43</f>
        <v>0</v>
      </c>
      <c r="Y60" s="85">
        <f>'Sensitivity 2'!$E$7*'Project Assumptions'!$E$15*'Project Assumptions'!AC$15*(1+'Sensitivity 2'!$D$5)^'Government Impact_baseline'!Y$43</f>
        <v>0</v>
      </c>
      <c r="Z60" s="85">
        <f>'Sensitivity 2'!$E$7*'Project Assumptions'!$E$15*'Project Assumptions'!AD$15*(1+'Sensitivity 2'!$D$5)^'Government Impact_baseline'!Z$43</f>
        <v>0</v>
      </c>
      <c r="AA60" s="85">
        <f>'Sensitivity 2'!$E$7*'Project Assumptions'!$E$15*'Project Assumptions'!AE$15*(1+'Sensitivity 2'!$D$5)^'Government Impact_baseline'!AA$43</f>
        <v>0</v>
      </c>
    </row>
    <row r="61" spans="2:27" hidden="1" outlineLevel="1" x14ac:dyDescent="0.35">
      <c r="B61" s="126" t="str">
        <f t="shared" si="19"/>
        <v>Land clearing</v>
      </c>
      <c r="C61" s="85">
        <f t="shared" ref="C61:AA61" si="39">C21</f>
        <v>0</v>
      </c>
      <c r="D61" s="85">
        <f t="shared" si="39"/>
        <v>30449.999999999996</v>
      </c>
      <c r="E61" s="85">
        <f t="shared" si="39"/>
        <v>30906.749999999993</v>
      </c>
      <c r="F61" s="85">
        <f t="shared" si="39"/>
        <v>0</v>
      </c>
      <c r="G61" s="85">
        <f t="shared" si="39"/>
        <v>0</v>
      </c>
      <c r="H61" s="85">
        <f t="shared" si="39"/>
        <v>0</v>
      </c>
      <c r="I61" s="85">
        <f t="shared" si="39"/>
        <v>0</v>
      </c>
      <c r="J61" s="85">
        <f t="shared" si="39"/>
        <v>0</v>
      </c>
      <c r="K61" s="85">
        <f t="shared" si="39"/>
        <v>0</v>
      </c>
      <c r="L61" s="85">
        <f t="shared" si="39"/>
        <v>0</v>
      </c>
      <c r="M61" s="85">
        <f t="shared" si="39"/>
        <v>0</v>
      </c>
      <c r="N61" s="85">
        <f t="shared" si="39"/>
        <v>0</v>
      </c>
      <c r="O61" s="85">
        <f t="shared" si="39"/>
        <v>0</v>
      </c>
      <c r="P61" s="85">
        <f t="shared" si="39"/>
        <v>0</v>
      </c>
      <c r="Q61" s="85">
        <f t="shared" si="39"/>
        <v>0</v>
      </c>
      <c r="R61" s="85">
        <f t="shared" si="39"/>
        <v>0</v>
      </c>
      <c r="S61" s="85">
        <f t="shared" si="39"/>
        <v>0</v>
      </c>
      <c r="T61" s="85">
        <f t="shared" si="39"/>
        <v>0</v>
      </c>
      <c r="U61" s="85">
        <f t="shared" si="39"/>
        <v>0</v>
      </c>
      <c r="V61" s="85">
        <f t="shared" si="39"/>
        <v>0</v>
      </c>
      <c r="W61" s="85">
        <f t="shared" si="39"/>
        <v>0</v>
      </c>
      <c r="X61" s="85">
        <f t="shared" si="39"/>
        <v>0</v>
      </c>
      <c r="Y61" s="85">
        <f t="shared" si="39"/>
        <v>0</v>
      </c>
      <c r="Z61" s="85">
        <f t="shared" si="39"/>
        <v>0</v>
      </c>
      <c r="AA61" s="85">
        <f t="shared" si="39"/>
        <v>0</v>
      </c>
    </row>
    <row r="62" spans="2:27" hidden="1" outlineLevel="1" x14ac:dyDescent="0.35">
      <c r="B62" s="126" t="str">
        <f t="shared" si="19"/>
        <v>Earth movement for dam</v>
      </c>
      <c r="C62" s="85">
        <f t="shared" ref="C62:AA62" si="40">C22</f>
        <v>0</v>
      </c>
      <c r="D62" s="85">
        <f t="shared" si="40"/>
        <v>411074.99999999994</v>
      </c>
      <c r="E62" s="85">
        <f t="shared" si="40"/>
        <v>1808044.8749999995</v>
      </c>
      <c r="F62" s="85">
        <f t="shared" si="40"/>
        <v>564666.32249999978</v>
      </c>
      <c r="G62" s="85">
        <f t="shared" si="40"/>
        <v>0</v>
      </c>
      <c r="H62" s="85">
        <f t="shared" si="40"/>
        <v>0</v>
      </c>
      <c r="I62" s="85">
        <f t="shared" si="40"/>
        <v>0</v>
      </c>
      <c r="J62" s="85">
        <f t="shared" si="40"/>
        <v>0</v>
      </c>
      <c r="K62" s="85">
        <f t="shared" si="40"/>
        <v>0</v>
      </c>
      <c r="L62" s="85">
        <f t="shared" si="40"/>
        <v>0</v>
      </c>
      <c r="M62" s="85">
        <f t="shared" si="40"/>
        <v>0</v>
      </c>
      <c r="N62" s="85">
        <f t="shared" si="40"/>
        <v>0</v>
      </c>
      <c r="O62" s="85">
        <f t="shared" si="40"/>
        <v>0</v>
      </c>
      <c r="P62" s="85">
        <f t="shared" si="40"/>
        <v>0</v>
      </c>
      <c r="Q62" s="85">
        <f t="shared" si="40"/>
        <v>0</v>
      </c>
      <c r="R62" s="85">
        <f t="shared" si="40"/>
        <v>0</v>
      </c>
      <c r="S62" s="85">
        <f t="shared" si="40"/>
        <v>0</v>
      </c>
      <c r="T62" s="85">
        <f t="shared" si="40"/>
        <v>0</v>
      </c>
      <c r="U62" s="85">
        <f t="shared" si="40"/>
        <v>0</v>
      </c>
      <c r="V62" s="85">
        <f t="shared" si="40"/>
        <v>0</v>
      </c>
      <c r="W62" s="85">
        <f t="shared" si="40"/>
        <v>0</v>
      </c>
      <c r="X62" s="85">
        <f t="shared" si="40"/>
        <v>0</v>
      </c>
      <c r="Y62" s="85">
        <f t="shared" si="40"/>
        <v>0</v>
      </c>
      <c r="Z62" s="85">
        <f t="shared" si="40"/>
        <v>0</v>
      </c>
      <c r="AA62" s="85">
        <f t="shared" si="40"/>
        <v>0</v>
      </c>
    </row>
    <row r="63" spans="2:27" hidden="1" outlineLevel="1" x14ac:dyDescent="0.35">
      <c r="B63" s="126" t="str">
        <f t="shared" si="19"/>
        <v>Dam structure (concrete)</v>
      </c>
      <c r="C63" s="85">
        <f t="shared" ref="C63:AA63" si="41">C23</f>
        <v>0</v>
      </c>
      <c r="D63" s="85">
        <f t="shared" si="41"/>
        <v>0</v>
      </c>
      <c r="E63" s="85">
        <f t="shared" si="41"/>
        <v>2511173.4374999995</v>
      </c>
      <c r="F63" s="85">
        <f t="shared" si="41"/>
        <v>4587913.870312498</v>
      </c>
      <c r="G63" s="85">
        <f t="shared" si="41"/>
        <v>3104488.3855781234</v>
      </c>
      <c r="H63" s="85">
        <f t="shared" si="41"/>
        <v>0</v>
      </c>
      <c r="I63" s="85">
        <f t="shared" si="41"/>
        <v>0</v>
      </c>
      <c r="J63" s="85">
        <f t="shared" si="41"/>
        <v>0</v>
      </c>
      <c r="K63" s="85">
        <f t="shared" si="41"/>
        <v>0</v>
      </c>
      <c r="L63" s="85">
        <f t="shared" si="41"/>
        <v>0</v>
      </c>
      <c r="M63" s="85">
        <f t="shared" si="41"/>
        <v>0</v>
      </c>
      <c r="N63" s="85">
        <f t="shared" si="41"/>
        <v>0</v>
      </c>
      <c r="O63" s="85">
        <f t="shared" si="41"/>
        <v>0</v>
      </c>
      <c r="P63" s="85">
        <f t="shared" si="41"/>
        <v>0</v>
      </c>
      <c r="Q63" s="85">
        <f t="shared" si="41"/>
        <v>0</v>
      </c>
      <c r="R63" s="85">
        <f t="shared" si="41"/>
        <v>0</v>
      </c>
      <c r="S63" s="85">
        <f t="shared" si="41"/>
        <v>0</v>
      </c>
      <c r="T63" s="85">
        <f t="shared" si="41"/>
        <v>0</v>
      </c>
      <c r="U63" s="85">
        <f t="shared" si="41"/>
        <v>0</v>
      </c>
      <c r="V63" s="85">
        <f t="shared" si="41"/>
        <v>0</v>
      </c>
      <c r="W63" s="85">
        <f t="shared" si="41"/>
        <v>0</v>
      </c>
      <c r="X63" s="85">
        <f t="shared" si="41"/>
        <v>0</v>
      </c>
      <c r="Y63" s="85">
        <f t="shared" si="41"/>
        <v>0</v>
      </c>
      <c r="Z63" s="85">
        <f t="shared" si="41"/>
        <v>0</v>
      </c>
      <c r="AA63" s="85">
        <f t="shared" si="41"/>
        <v>0</v>
      </c>
    </row>
    <row r="64" spans="2:27" hidden="1" outlineLevel="1" x14ac:dyDescent="0.35">
      <c r="B64" s="126" t="str">
        <f t="shared" si="19"/>
        <v>Excavation for pipes</v>
      </c>
      <c r="C64" s="85">
        <f t="shared" ref="C64:AA64" si="42">C24</f>
        <v>0</v>
      </c>
      <c r="D64" s="85">
        <f t="shared" si="42"/>
        <v>0</v>
      </c>
      <c r="E64" s="85">
        <f t="shared" si="42"/>
        <v>72115.749999999985</v>
      </c>
      <c r="F64" s="85">
        <f t="shared" si="42"/>
        <v>131755.47524999996</v>
      </c>
      <c r="G64" s="85">
        <f t="shared" si="42"/>
        <v>89154.538252499959</v>
      </c>
      <c r="H64" s="85">
        <f t="shared" si="42"/>
        <v>0</v>
      </c>
      <c r="I64" s="85">
        <f t="shared" si="42"/>
        <v>0</v>
      </c>
      <c r="J64" s="85">
        <f t="shared" si="42"/>
        <v>0</v>
      </c>
      <c r="K64" s="85">
        <f t="shared" si="42"/>
        <v>0</v>
      </c>
      <c r="L64" s="85">
        <f t="shared" si="42"/>
        <v>0</v>
      </c>
      <c r="M64" s="85">
        <f t="shared" si="42"/>
        <v>0</v>
      </c>
      <c r="N64" s="85">
        <f t="shared" si="42"/>
        <v>0</v>
      </c>
      <c r="O64" s="85">
        <f t="shared" si="42"/>
        <v>0</v>
      </c>
      <c r="P64" s="85">
        <f t="shared" si="42"/>
        <v>0</v>
      </c>
      <c r="Q64" s="85">
        <f t="shared" si="42"/>
        <v>0</v>
      </c>
      <c r="R64" s="85">
        <f t="shared" si="42"/>
        <v>0</v>
      </c>
      <c r="S64" s="85">
        <f t="shared" si="42"/>
        <v>0</v>
      </c>
      <c r="T64" s="85">
        <f t="shared" si="42"/>
        <v>0</v>
      </c>
      <c r="U64" s="85">
        <f t="shared" si="42"/>
        <v>0</v>
      </c>
      <c r="V64" s="85">
        <f t="shared" si="42"/>
        <v>0</v>
      </c>
      <c r="W64" s="85">
        <f t="shared" si="42"/>
        <v>0</v>
      </c>
      <c r="X64" s="85">
        <f t="shared" si="42"/>
        <v>0</v>
      </c>
      <c r="Y64" s="85">
        <f t="shared" si="42"/>
        <v>0</v>
      </c>
      <c r="Z64" s="85">
        <f t="shared" si="42"/>
        <v>0</v>
      </c>
      <c r="AA64" s="85">
        <f t="shared" si="42"/>
        <v>0</v>
      </c>
    </row>
    <row r="65" spans="2:27" hidden="1" outlineLevel="1" x14ac:dyDescent="0.35">
      <c r="B65" s="126" t="str">
        <f t="shared" si="19"/>
        <v>Main pipes</v>
      </c>
      <c r="C65" s="85">
        <f t="shared" ref="C65:AA65" si="43">C25</f>
        <v>0</v>
      </c>
      <c r="D65" s="85">
        <f t="shared" si="43"/>
        <v>0</v>
      </c>
      <c r="E65" s="85">
        <f t="shared" si="43"/>
        <v>0</v>
      </c>
      <c r="F65" s="85">
        <f t="shared" si="43"/>
        <v>210808.76039999991</v>
      </c>
      <c r="G65" s="85">
        <f t="shared" si="43"/>
        <v>499265.4142139997</v>
      </c>
      <c r="H65" s="85">
        <f t="shared" si="43"/>
        <v>0</v>
      </c>
      <c r="I65" s="85">
        <f t="shared" si="43"/>
        <v>0</v>
      </c>
      <c r="J65" s="85">
        <f t="shared" si="43"/>
        <v>0</v>
      </c>
      <c r="K65" s="85">
        <f t="shared" si="43"/>
        <v>0</v>
      </c>
      <c r="L65" s="85">
        <f t="shared" si="43"/>
        <v>0</v>
      </c>
      <c r="M65" s="85">
        <f t="shared" si="43"/>
        <v>0</v>
      </c>
      <c r="N65" s="85">
        <f t="shared" si="43"/>
        <v>0</v>
      </c>
      <c r="O65" s="85">
        <f t="shared" si="43"/>
        <v>0</v>
      </c>
      <c r="P65" s="85">
        <f t="shared" si="43"/>
        <v>0</v>
      </c>
      <c r="Q65" s="85">
        <f t="shared" si="43"/>
        <v>0</v>
      </c>
      <c r="R65" s="85">
        <f t="shared" si="43"/>
        <v>0</v>
      </c>
      <c r="S65" s="85">
        <f t="shared" si="43"/>
        <v>0</v>
      </c>
      <c r="T65" s="85">
        <f t="shared" si="43"/>
        <v>0</v>
      </c>
      <c r="U65" s="85">
        <f t="shared" si="43"/>
        <v>0</v>
      </c>
      <c r="V65" s="85">
        <f t="shared" si="43"/>
        <v>0</v>
      </c>
      <c r="W65" s="85">
        <f t="shared" si="43"/>
        <v>0</v>
      </c>
      <c r="X65" s="85">
        <f t="shared" si="43"/>
        <v>0</v>
      </c>
      <c r="Y65" s="85">
        <f t="shared" si="43"/>
        <v>0</v>
      </c>
      <c r="Z65" s="85">
        <f t="shared" si="43"/>
        <v>0</v>
      </c>
      <c r="AA65" s="85">
        <f t="shared" si="43"/>
        <v>0</v>
      </c>
    </row>
    <row r="66" spans="2:27" hidden="1" outlineLevel="1" x14ac:dyDescent="0.35">
      <c r="B66" s="126" t="str">
        <f t="shared" si="19"/>
        <v>Floodgates</v>
      </c>
      <c r="C66" s="85">
        <f t="shared" ref="C66:AA66" si="44">C26</f>
        <v>0</v>
      </c>
      <c r="D66" s="85">
        <f t="shared" si="44"/>
        <v>0</v>
      </c>
      <c r="E66" s="85">
        <f t="shared" si="44"/>
        <v>0</v>
      </c>
      <c r="F66" s="85">
        <f t="shared" si="44"/>
        <v>46009.848499999986</v>
      </c>
      <c r="G66" s="85">
        <f t="shared" si="44"/>
        <v>70049.994341249956</v>
      </c>
      <c r="H66" s="85">
        <f t="shared" si="44"/>
        <v>0</v>
      </c>
      <c r="I66" s="85">
        <f t="shared" si="44"/>
        <v>0</v>
      </c>
      <c r="J66" s="85">
        <f t="shared" si="44"/>
        <v>0</v>
      </c>
      <c r="K66" s="85">
        <f t="shared" si="44"/>
        <v>0</v>
      </c>
      <c r="L66" s="85">
        <f t="shared" si="44"/>
        <v>0</v>
      </c>
      <c r="M66" s="85">
        <f t="shared" si="44"/>
        <v>0</v>
      </c>
      <c r="N66" s="85">
        <f t="shared" si="44"/>
        <v>0</v>
      </c>
      <c r="O66" s="85">
        <f t="shared" si="44"/>
        <v>0</v>
      </c>
      <c r="P66" s="85">
        <f t="shared" si="44"/>
        <v>0</v>
      </c>
      <c r="Q66" s="85">
        <f t="shared" si="44"/>
        <v>0</v>
      </c>
      <c r="R66" s="85">
        <f t="shared" si="44"/>
        <v>0</v>
      </c>
      <c r="S66" s="85">
        <f t="shared" si="44"/>
        <v>0</v>
      </c>
      <c r="T66" s="85">
        <f t="shared" si="44"/>
        <v>0</v>
      </c>
      <c r="U66" s="85">
        <f t="shared" si="44"/>
        <v>0</v>
      </c>
      <c r="V66" s="85">
        <f t="shared" si="44"/>
        <v>0</v>
      </c>
      <c r="W66" s="85">
        <f t="shared" si="44"/>
        <v>0</v>
      </c>
      <c r="X66" s="85">
        <f t="shared" si="44"/>
        <v>0</v>
      </c>
      <c r="Y66" s="85">
        <f t="shared" si="44"/>
        <v>0</v>
      </c>
      <c r="Z66" s="85">
        <f t="shared" si="44"/>
        <v>0</v>
      </c>
      <c r="AA66" s="85">
        <f t="shared" si="44"/>
        <v>0</v>
      </c>
    </row>
    <row r="67" spans="2:27" hidden="1" outlineLevel="1" x14ac:dyDescent="0.35">
      <c r="B67" s="126" t="str">
        <f t="shared" si="19"/>
        <v>Main Pumps</v>
      </c>
      <c r="C67" s="85">
        <f t="shared" ref="C67:AA67" si="45">C27</f>
        <v>0</v>
      </c>
      <c r="D67" s="85">
        <f t="shared" si="45"/>
        <v>0</v>
      </c>
      <c r="E67" s="85">
        <f t="shared" si="45"/>
        <v>0</v>
      </c>
      <c r="F67" s="85">
        <f t="shared" si="45"/>
        <v>13802.954549999995</v>
      </c>
      <c r="G67" s="85">
        <f t="shared" si="45"/>
        <v>32689.997359249977</v>
      </c>
      <c r="H67" s="85">
        <f t="shared" si="45"/>
        <v>0</v>
      </c>
      <c r="I67" s="85">
        <f t="shared" si="45"/>
        <v>0</v>
      </c>
      <c r="J67" s="85">
        <f t="shared" si="45"/>
        <v>0</v>
      </c>
      <c r="K67" s="85">
        <f t="shared" si="45"/>
        <v>0</v>
      </c>
      <c r="L67" s="85">
        <f t="shared" si="45"/>
        <v>0</v>
      </c>
      <c r="M67" s="85">
        <f t="shared" si="45"/>
        <v>0</v>
      </c>
      <c r="N67" s="85">
        <f t="shared" si="45"/>
        <v>0</v>
      </c>
      <c r="O67" s="85">
        <f t="shared" si="45"/>
        <v>0</v>
      </c>
      <c r="P67" s="85">
        <f t="shared" si="45"/>
        <v>0</v>
      </c>
      <c r="Q67" s="85">
        <f t="shared" si="45"/>
        <v>0</v>
      </c>
      <c r="R67" s="85">
        <f t="shared" si="45"/>
        <v>0</v>
      </c>
      <c r="S67" s="85">
        <f t="shared" si="45"/>
        <v>0</v>
      </c>
      <c r="T67" s="85">
        <f t="shared" si="45"/>
        <v>0</v>
      </c>
      <c r="U67" s="85">
        <f t="shared" si="45"/>
        <v>0</v>
      </c>
      <c r="V67" s="85">
        <f t="shared" si="45"/>
        <v>0</v>
      </c>
      <c r="W67" s="85">
        <f t="shared" si="45"/>
        <v>0</v>
      </c>
      <c r="X67" s="85">
        <f t="shared" si="45"/>
        <v>0</v>
      </c>
      <c r="Y67" s="85">
        <f t="shared" si="45"/>
        <v>0</v>
      </c>
      <c r="Z67" s="85">
        <f t="shared" si="45"/>
        <v>0</v>
      </c>
      <c r="AA67" s="85">
        <f t="shared" si="45"/>
        <v>0</v>
      </c>
    </row>
    <row r="68" spans="2:27" hidden="1" outlineLevel="1" x14ac:dyDescent="0.35">
      <c r="B68" s="126" t="str">
        <f t="shared" si="19"/>
        <v>Main pumps housing</v>
      </c>
      <c r="C68" s="85">
        <f t="shared" ref="C68:AA68" si="46">C28</f>
        <v>0</v>
      </c>
      <c r="D68" s="85">
        <f t="shared" si="46"/>
        <v>0</v>
      </c>
      <c r="E68" s="85">
        <f t="shared" si="46"/>
        <v>0</v>
      </c>
      <c r="F68" s="85">
        <f t="shared" si="46"/>
        <v>3764.4421499999985</v>
      </c>
      <c r="G68" s="85">
        <f t="shared" si="46"/>
        <v>8915.4538252499951</v>
      </c>
      <c r="H68" s="85">
        <f t="shared" si="46"/>
        <v>0</v>
      </c>
      <c r="I68" s="85">
        <f t="shared" si="46"/>
        <v>0</v>
      </c>
      <c r="J68" s="85">
        <f t="shared" si="46"/>
        <v>0</v>
      </c>
      <c r="K68" s="85">
        <f t="shared" si="46"/>
        <v>0</v>
      </c>
      <c r="L68" s="85">
        <f t="shared" si="46"/>
        <v>0</v>
      </c>
      <c r="M68" s="85">
        <f t="shared" si="46"/>
        <v>0</v>
      </c>
      <c r="N68" s="85">
        <f t="shared" si="46"/>
        <v>0</v>
      </c>
      <c r="O68" s="85">
        <f t="shared" si="46"/>
        <v>0</v>
      </c>
      <c r="P68" s="85">
        <f t="shared" si="46"/>
        <v>0</v>
      </c>
      <c r="Q68" s="85">
        <f t="shared" si="46"/>
        <v>0</v>
      </c>
      <c r="R68" s="85">
        <f t="shared" si="46"/>
        <v>0</v>
      </c>
      <c r="S68" s="85">
        <f t="shared" si="46"/>
        <v>0</v>
      </c>
      <c r="T68" s="85">
        <f t="shared" si="46"/>
        <v>0</v>
      </c>
      <c r="U68" s="85">
        <f t="shared" si="46"/>
        <v>0</v>
      </c>
      <c r="V68" s="85">
        <f t="shared" si="46"/>
        <v>0</v>
      </c>
      <c r="W68" s="85">
        <f t="shared" si="46"/>
        <v>0</v>
      </c>
      <c r="X68" s="85">
        <f t="shared" si="46"/>
        <v>0</v>
      </c>
      <c r="Y68" s="85">
        <f t="shared" si="46"/>
        <v>0</v>
      </c>
      <c r="Z68" s="85">
        <f t="shared" si="46"/>
        <v>0</v>
      </c>
      <c r="AA68" s="85">
        <f t="shared" si="46"/>
        <v>0</v>
      </c>
    </row>
    <row r="69" spans="2:27" hidden="1" outlineLevel="1" x14ac:dyDescent="0.35">
      <c r="B69" s="126" t="str">
        <f t="shared" si="19"/>
        <v>Flow meters and controls</v>
      </c>
      <c r="C69" s="85">
        <f t="shared" ref="C69:AA69" si="47">C29</f>
        <v>0</v>
      </c>
      <c r="D69" s="85">
        <f t="shared" si="47"/>
        <v>0</v>
      </c>
      <c r="E69" s="85">
        <f t="shared" si="47"/>
        <v>0</v>
      </c>
      <c r="F69" s="85">
        <f t="shared" si="47"/>
        <v>7528.884299999997</v>
      </c>
      <c r="G69" s="85">
        <f t="shared" si="47"/>
        <v>17830.90765049999</v>
      </c>
      <c r="H69" s="85">
        <f t="shared" si="47"/>
        <v>0</v>
      </c>
      <c r="I69" s="85">
        <f t="shared" si="47"/>
        <v>0</v>
      </c>
      <c r="J69" s="85">
        <f t="shared" si="47"/>
        <v>0</v>
      </c>
      <c r="K69" s="85">
        <f t="shared" si="47"/>
        <v>0</v>
      </c>
      <c r="L69" s="85">
        <f t="shared" si="47"/>
        <v>0</v>
      </c>
      <c r="M69" s="85">
        <f t="shared" si="47"/>
        <v>0</v>
      </c>
      <c r="N69" s="85">
        <f t="shared" si="47"/>
        <v>0</v>
      </c>
      <c r="O69" s="85">
        <f t="shared" si="47"/>
        <v>0</v>
      </c>
      <c r="P69" s="85">
        <f t="shared" si="47"/>
        <v>0</v>
      </c>
      <c r="Q69" s="85">
        <f t="shared" si="47"/>
        <v>0</v>
      </c>
      <c r="R69" s="85">
        <f t="shared" si="47"/>
        <v>0</v>
      </c>
      <c r="S69" s="85">
        <f t="shared" si="47"/>
        <v>0</v>
      </c>
      <c r="T69" s="85">
        <f t="shared" si="47"/>
        <v>0</v>
      </c>
      <c r="U69" s="85">
        <f t="shared" si="47"/>
        <v>0</v>
      </c>
      <c r="V69" s="85">
        <f t="shared" si="47"/>
        <v>0</v>
      </c>
      <c r="W69" s="85">
        <f t="shared" si="47"/>
        <v>0</v>
      </c>
      <c r="X69" s="85">
        <f t="shared" si="47"/>
        <v>0</v>
      </c>
      <c r="Y69" s="85">
        <f t="shared" si="47"/>
        <v>0</v>
      </c>
      <c r="Z69" s="85">
        <f t="shared" si="47"/>
        <v>0</v>
      </c>
      <c r="AA69" s="85">
        <f t="shared" si="47"/>
        <v>0</v>
      </c>
    </row>
    <row r="70" spans="2:27" hidden="1" outlineLevel="1" x14ac:dyDescent="0.35">
      <c r="B70" s="126" t="str">
        <f t="shared" si="19"/>
        <v>Electricity lines</v>
      </c>
      <c r="C70" s="85">
        <f t="shared" ref="C70:AA70" si="48">C30</f>
        <v>0</v>
      </c>
      <c r="D70" s="85">
        <f t="shared" si="48"/>
        <v>0</v>
      </c>
      <c r="E70" s="85">
        <f t="shared" si="48"/>
        <v>0</v>
      </c>
      <c r="F70" s="85">
        <f t="shared" si="48"/>
        <v>101953.64156249996</v>
      </c>
      <c r="G70" s="85">
        <f t="shared" si="48"/>
        <v>103482.94618593744</v>
      </c>
      <c r="H70" s="85">
        <f t="shared" si="48"/>
        <v>0</v>
      </c>
      <c r="I70" s="85">
        <f t="shared" si="48"/>
        <v>0</v>
      </c>
      <c r="J70" s="85">
        <f t="shared" si="48"/>
        <v>0</v>
      </c>
      <c r="K70" s="85">
        <f t="shared" si="48"/>
        <v>0</v>
      </c>
      <c r="L70" s="85">
        <f t="shared" si="48"/>
        <v>0</v>
      </c>
      <c r="M70" s="85">
        <f t="shared" si="48"/>
        <v>0</v>
      </c>
      <c r="N70" s="85">
        <f t="shared" si="48"/>
        <v>0</v>
      </c>
      <c r="O70" s="85">
        <f t="shared" si="48"/>
        <v>0</v>
      </c>
      <c r="P70" s="85">
        <f t="shared" si="48"/>
        <v>0</v>
      </c>
      <c r="Q70" s="85">
        <f t="shared" si="48"/>
        <v>0</v>
      </c>
      <c r="R70" s="85">
        <f t="shared" si="48"/>
        <v>0</v>
      </c>
      <c r="S70" s="85">
        <f t="shared" si="48"/>
        <v>0</v>
      </c>
      <c r="T70" s="85">
        <f t="shared" si="48"/>
        <v>0</v>
      </c>
      <c r="U70" s="85">
        <f t="shared" si="48"/>
        <v>0</v>
      </c>
      <c r="V70" s="85">
        <f t="shared" si="48"/>
        <v>0</v>
      </c>
      <c r="W70" s="85">
        <f t="shared" si="48"/>
        <v>0</v>
      </c>
      <c r="X70" s="85">
        <f t="shared" si="48"/>
        <v>0</v>
      </c>
      <c r="Y70" s="85">
        <f t="shared" si="48"/>
        <v>0</v>
      </c>
      <c r="Z70" s="85">
        <f t="shared" si="48"/>
        <v>0</v>
      </c>
      <c r="AA70" s="85">
        <f t="shared" si="48"/>
        <v>0</v>
      </c>
    </row>
    <row r="71" spans="2:27" hidden="1" outlineLevel="1" x14ac:dyDescent="0.35">
      <c r="B71" s="126" t="str">
        <f t="shared" si="19"/>
        <v>Electric transformer</v>
      </c>
      <c r="C71" s="85">
        <f t="shared" ref="C71:AA71" si="49">C31</f>
        <v>0</v>
      </c>
      <c r="D71" s="85">
        <f t="shared" si="49"/>
        <v>0</v>
      </c>
      <c r="E71" s="85">
        <f t="shared" si="49"/>
        <v>0</v>
      </c>
      <c r="F71" s="85">
        <f t="shared" si="49"/>
        <v>0</v>
      </c>
      <c r="G71" s="85">
        <f t="shared" si="49"/>
        <v>5094.5450429999973</v>
      </c>
      <c r="H71" s="85">
        <f t="shared" si="49"/>
        <v>0</v>
      </c>
      <c r="I71" s="85">
        <f t="shared" si="49"/>
        <v>0</v>
      </c>
      <c r="J71" s="85">
        <f t="shared" si="49"/>
        <v>0</v>
      </c>
      <c r="K71" s="85">
        <f t="shared" si="49"/>
        <v>0</v>
      </c>
      <c r="L71" s="85">
        <f t="shared" si="49"/>
        <v>0</v>
      </c>
      <c r="M71" s="85">
        <f t="shared" si="49"/>
        <v>0</v>
      </c>
      <c r="N71" s="85">
        <f t="shared" si="49"/>
        <v>0</v>
      </c>
      <c r="O71" s="85">
        <f t="shared" si="49"/>
        <v>0</v>
      </c>
      <c r="P71" s="85">
        <f t="shared" si="49"/>
        <v>0</v>
      </c>
      <c r="Q71" s="85">
        <f t="shared" si="49"/>
        <v>0</v>
      </c>
      <c r="R71" s="85">
        <f t="shared" si="49"/>
        <v>0</v>
      </c>
      <c r="S71" s="85">
        <f t="shared" si="49"/>
        <v>0</v>
      </c>
      <c r="T71" s="85">
        <f t="shared" si="49"/>
        <v>0</v>
      </c>
      <c r="U71" s="85">
        <f t="shared" si="49"/>
        <v>0</v>
      </c>
      <c r="V71" s="85">
        <f t="shared" si="49"/>
        <v>0</v>
      </c>
      <c r="W71" s="85">
        <f t="shared" si="49"/>
        <v>0</v>
      </c>
      <c r="X71" s="85">
        <f t="shared" si="49"/>
        <v>0</v>
      </c>
      <c r="Y71" s="85">
        <f t="shared" si="49"/>
        <v>0</v>
      </c>
      <c r="Z71" s="85">
        <f t="shared" si="49"/>
        <v>0</v>
      </c>
      <c r="AA71" s="85">
        <f t="shared" si="49"/>
        <v>0</v>
      </c>
    </row>
    <row r="72" spans="2:27" hidden="1" x14ac:dyDescent="0.35">
      <c r="B72" s="70" t="str">
        <f t="shared" si="19"/>
        <v>Net Lending / Borrowing</v>
      </c>
      <c r="C72" s="88">
        <f t="shared" ref="C72:AA72" si="50">C44-C46-C57</f>
        <v>-1875000</v>
      </c>
      <c r="D72" s="88">
        <f t="shared" si="50"/>
        <v>-2659024.9999999995</v>
      </c>
      <c r="E72" s="88">
        <f t="shared" si="50"/>
        <v>-4856893.3124999991</v>
      </c>
      <c r="F72" s="88">
        <f t="shared" si="50"/>
        <v>-7178176.2961349972</v>
      </c>
      <c r="G72" s="88">
        <f t="shared" si="50"/>
        <v>-7945036.9760139091</v>
      </c>
      <c r="H72" s="88">
        <f t="shared" si="50"/>
        <v>-2476378.2078251997</v>
      </c>
      <c r="I72" s="88">
        <f t="shared" si="50"/>
        <v>-2399703.8266784917</v>
      </c>
      <c r="J72" s="88">
        <f t="shared" si="50"/>
        <v>-2323256.9254791681</v>
      </c>
      <c r="K72" s="88">
        <f t="shared" si="50"/>
        <v>-2247040.9164264407</v>
      </c>
      <c r="L72" s="88">
        <f t="shared" si="50"/>
        <v>-2171059.2629025076</v>
      </c>
      <c r="M72" s="88">
        <f t="shared" si="50"/>
        <v>-2095315.4802403012</v>
      </c>
      <c r="N72" s="88">
        <f t="shared" si="50"/>
        <v>-2019813.1365027474</v>
      </c>
      <c r="O72" s="88">
        <f t="shared" si="50"/>
        <v>-1944555.8532737158</v>
      </c>
      <c r="P72" s="88">
        <f t="shared" si="50"/>
        <v>-2472334.3721905053</v>
      </c>
      <c r="Q72" s="88">
        <f t="shared" si="50"/>
        <v>-4733723.9939728081</v>
      </c>
      <c r="R72" s="88">
        <f t="shared" si="50"/>
        <v>-1720291.4022341846</v>
      </c>
      <c r="S72" s="88">
        <f t="shared" si="50"/>
        <v>-1646051.6756494672</v>
      </c>
      <c r="T72" s="88">
        <f t="shared" si="50"/>
        <v>-1572075.9488305645</v>
      </c>
      <c r="U72" s="88">
        <f t="shared" si="50"/>
        <v>-1498368.1817739638</v>
      </c>
      <c r="V72" s="88">
        <f t="shared" si="50"/>
        <v>-1424932.3938761</v>
      </c>
      <c r="W72" s="88">
        <f t="shared" si="50"/>
        <v>-1351772.6648243535</v>
      </c>
      <c r="X72" s="88">
        <f t="shared" si="50"/>
        <v>-1278893.1355014166</v>
      </c>
      <c r="Y72" s="88">
        <f t="shared" si="50"/>
        <v>-1206298.0089032212</v>
      </c>
      <c r="Z72" s="88">
        <f t="shared" si="50"/>
        <v>-1133991.5510706385</v>
      </c>
      <c r="AA72" s="88">
        <f t="shared" si="50"/>
        <v>-1061978.041062779</v>
      </c>
    </row>
    <row r="73" spans="2:27" hidden="1" x14ac:dyDescent="0.35"/>
    <row r="74" spans="2:27" hidden="1" x14ac:dyDescent="0.35">
      <c r="B74" s="3" t="s">
        <v>144</v>
      </c>
    </row>
    <row r="75" spans="2:27" hidden="1" x14ac:dyDescent="0.35">
      <c r="B75" t="s">
        <v>148</v>
      </c>
      <c r="C75" s="127">
        <f t="shared" ref="C75" si="51">+C76-C78</f>
        <v>1875000</v>
      </c>
      <c r="D75" s="127">
        <f t="shared" ref="D75" si="52">+C75+D76-D78</f>
        <v>4346525</v>
      </c>
      <c r="E75" s="127">
        <f t="shared" ref="E75" si="53">+D75+E76-E78</f>
        <v>8768765.8125</v>
      </c>
      <c r="F75" s="127">
        <f t="shared" ref="F75" si="54">+E75+F76-F78</f>
        <v>14436970.012024999</v>
      </c>
      <c r="G75" s="127">
        <f t="shared" ref="G75" si="55">+F75+G76-G78</f>
        <v>18367942.194474809</v>
      </c>
      <c r="H75" s="127">
        <f t="shared" ref="H75" si="56">+G75+H76-H78</f>
        <v>17449545.08475107</v>
      </c>
      <c r="I75" s="127">
        <f t="shared" ref="I75" si="57">+H75+I76-I78</f>
        <v>16531147.975027328</v>
      </c>
      <c r="J75" s="127">
        <f t="shared" ref="J75" si="58">+I75+J76-J78</f>
        <v>15612750.865303587</v>
      </c>
      <c r="K75" s="127">
        <f t="shared" ref="K75" si="59">+J75+K76-K78</f>
        <v>14694353.755579846</v>
      </c>
      <c r="L75" s="127">
        <f t="shared" ref="L75" si="60">+K75+L76-L78</f>
        <v>13775956.645856105</v>
      </c>
      <c r="M75" s="127">
        <f t="shared" ref="M75" si="61">+L75+M76-M78</f>
        <v>12857559.536132364</v>
      </c>
      <c r="N75" s="127">
        <f t="shared" ref="N75" si="62">+M75+N76-N78</f>
        <v>11939162.426408622</v>
      </c>
      <c r="O75" s="127">
        <f t="shared" ref="O75" si="63">+N75+O76-O78</f>
        <v>11020765.316684881</v>
      </c>
      <c r="P75" s="127">
        <f t="shared" ref="P75" si="64">+O75+P76-P78</f>
        <v>10102368.20696114</v>
      </c>
      <c r="Q75" s="127">
        <f t="shared" ref="Q75" si="65">+P75+Q76-Q78</f>
        <v>9183971.0972373988</v>
      </c>
      <c r="R75" s="127">
        <f t="shared" ref="R75" si="66">+Q75+R76-R78</f>
        <v>8265573.9875136586</v>
      </c>
      <c r="S75" s="127">
        <f t="shared" ref="S75" si="67">+R75+S76-S78</f>
        <v>7347176.8777899183</v>
      </c>
      <c r="T75" s="127">
        <f t="shared" ref="T75" si="68">+S75+T76-T78</f>
        <v>6428779.7680661781</v>
      </c>
      <c r="U75" s="127">
        <f t="shared" ref="U75" si="69">+T75+U76-U78</f>
        <v>5510382.6583424378</v>
      </c>
      <c r="V75" s="127">
        <f t="shared" ref="V75" si="70">+U75+V76-V78</f>
        <v>4591985.5486186976</v>
      </c>
      <c r="W75" s="127">
        <f t="shared" ref="W75" si="71">+V75+W76-W78</f>
        <v>3673588.4388949573</v>
      </c>
      <c r="X75" s="127">
        <f t="shared" ref="X75" si="72">+W75+X76-X78</f>
        <v>2755191.329171217</v>
      </c>
      <c r="Y75" s="127">
        <f t="shared" ref="Y75" si="73">+X75+Y76-Y78</f>
        <v>1836794.2194474766</v>
      </c>
      <c r="Z75" s="127">
        <f>ROUND(Y75+Z76-Z78,1)</f>
        <v>918397.1</v>
      </c>
      <c r="AA75" s="127">
        <f>ROUND(Z75+AA76-AA78,1)</f>
        <v>0</v>
      </c>
    </row>
    <row r="76" spans="2:27" hidden="1" x14ac:dyDescent="0.35">
      <c r="B76" t="s">
        <v>142</v>
      </c>
      <c r="C76" s="127">
        <f t="shared" ref="C76:AA76" si="74">+C57</f>
        <v>1875000</v>
      </c>
      <c r="D76" s="127">
        <f t="shared" si="74"/>
        <v>2471524.9999999995</v>
      </c>
      <c r="E76" s="127">
        <f t="shared" si="74"/>
        <v>4422240.8124999991</v>
      </c>
      <c r="F76" s="127">
        <f t="shared" si="74"/>
        <v>5668204.1995249977</v>
      </c>
      <c r="G76" s="127">
        <f t="shared" si="74"/>
        <v>3930972.1824498107</v>
      </c>
      <c r="H76" s="127">
        <f t="shared" si="74"/>
        <v>0</v>
      </c>
      <c r="I76" s="127">
        <f t="shared" si="74"/>
        <v>0</v>
      </c>
      <c r="J76" s="127">
        <f t="shared" si="74"/>
        <v>0</v>
      </c>
      <c r="K76" s="127">
        <f t="shared" si="74"/>
        <v>0</v>
      </c>
      <c r="L76" s="127">
        <f t="shared" si="74"/>
        <v>0</v>
      </c>
      <c r="M76" s="127">
        <f t="shared" si="74"/>
        <v>0</v>
      </c>
      <c r="N76" s="127">
        <f t="shared" si="74"/>
        <v>0</v>
      </c>
      <c r="O76" s="127">
        <f t="shared" si="74"/>
        <v>0</v>
      </c>
      <c r="P76" s="127">
        <f t="shared" si="74"/>
        <v>0</v>
      </c>
      <c r="Q76" s="127">
        <f t="shared" si="74"/>
        <v>0</v>
      </c>
      <c r="R76" s="127">
        <f t="shared" si="74"/>
        <v>0</v>
      </c>
      <c r="S76" s="127">
        <f t="shared" si="74"/>
        <v>0</v>
      </c>
      <c r="T76" s="127">
        <f t="shared" si="74"/>
        <v>0</v>
      </c>
      <c r="U76" s="127">
        <f t="shared" si="74"/>
        <v>0</v>
      </c>
      <c r="V76" s="127">
        <f t="shared" si="74"/>
        <v>0</v>
      </c>
      <c r="W76" s="127">
        <f t="shared" si="74"/>
        <v>0</v>
      </c>
      <c r="X76" s="127">
        <f t="shared" si="74"/>
        <v>0</v>
      </c>
      <c r="Y76" s="127">
        <f t="shared" si="74"/>
        <v>0</v>
      </c>
      <c r="Z76" s="127">
        <f t="shared" si="74"/>
        <v>0</v>
      </c>
      <c r="AA76" s="127">
        <f t="shared" si="74"/>
        <v>0</v>
      </c>
    </row>
    <row r="77" spans="2:27" hidden="1" x14ac:dyDescent="0.35">
      <c r="B77" t="s">
        <v>145</v>
      </c>
      <c r="C77" s="127">
        <v>0</v>
      </c>
      <c r="D77" s="127">
        <f>+C75*'Sensitivity 2'!$D$3</f>
        <v>187500</v>
      </c>
      <c r="E77" s="127">
        <f>+D75*'Sensitivity 2'!$D$3</f>
        <v>434652.5</v>
      </c>
      <c r="F77" s="127">
        <f>+E75*'Sensitivity 2'!$D$3</f>
        <v>876876.58125000005</v>
      </c>
      <c r="G77" s="127">
        <f>+F75*'Sensitivity 2'!$D$3</f>
        <v>1443697.0012025</v>
      </c>
      <c r="H77" s="127">
        <f>+G75*'Sensitivity 2'!$D$3</f>
        <v>1836794.219447481</v>
      </c>
      <c r="I77" s="127">
        <f>+H75*'Sensitivity 2'!$D$3</f>
        <v>1744954.5084751071</v>
      </c>
      <c r="J77" s="127">
        <f>+I75*'Sensitivity 2'!$D$3</f>
        <v>1653114.7975027328</v>
      </c>
      <c r="K77" s="127">
        <f>+J75*'Sensitivity 2'!$D$3</f>
        <v>1561275.0865303588</v>
      </c>
      <c r="L77" s="127">
        <f>+K75*'Sensitivity 2'!$D$3</f>
        <v>1469435.3755579847</v>
      </c>
      <c r="M77" s="127">
        <f>+L75*'Sensitivity 2'!$D$3</f>
        <v>1377595.6645856106</v>
      </c>
      <c r="N77" s="127">
        <f>+M75*'Sensitivity 2'!$D$3</f>
        <v>1285755.9536132365</v>
      </c>
      <c r="O77" s="127">
        <f>+N75*'Sensitivity 2'!$D$3</f>
        <v>1193916.2426408622</v>
      </c>
      <c r="P77" s="127">
        <f>+O75*'Sensitivity 2'!$D$3</f>
        <v>1102076.5316684882</v>
      </c>
      <c r="Q77" s="127">
        <f>+P75*'Sensitivity 2'!$D$3</f>
        <v>1010236.8206961141</v>
      </c>
      <c r="R77" s="127">
        <f>+Q75*'Sensitivity 2'!$D$3</f>
        <v>918397.10972373991</v>
      </c>
      <c r="S77" s="127">
        <f>+R75*'Sensitivity 2'!$D$3</f>
        <v>826557.39875136595</v>
      </c>
      <c r="T77" s="127">
        <f>+S75*'Sensitivity 2'!$D$3</f>
        <v>734717.68777899188</v>
      </c>
      <c r="U77" s="127">
        <f>+T75*'Sensitivity 2'!$D$3</f>
        <v>642877.97680661781</v>
      </c>
      <c r="V77" s="127">
        <f>+U75*'Sensitivity 2'!$D$3</f>
        <v>551038.26583424385</v>
      </c>
      <c r="W77" s="127">
        <f>+V75*'Sensitivity 2'!$D$3</f>
        <v>459198.55486186978</v>
      </c>
      <c r="X77" s="127">
        <f>+W75*'Sensitivity 2'!$D$3</f>
        <v>367358.84388949577</v>
      </c>
      <c r="Y77" s="127">
        <f>+X75*'Sensitivity 2'!$D$3</f>
        <v>275519.13291712169</v>
      </c>
      <c r="Z77" s="127">
        <f>+Y75*'Sensitivity 2'!$D$3</f>
        <v>183679.42194474768</v>
      </c>
      <c r="AA77" s="127">
        <f>+Z75*'Sensitivity 2'!$D$3</f>
        <v>91839.71</v>
      </c>
    </row>
    <row r="78" spans="2:27" hidden="1" x14ac:dyDescent="0.35">
      <c r="B78" t="s">
        <v>147</v>
      </c>
      <c r="C78" s="127">
        <v>0</v>
      </c>
      <c r="D78" s="127">
        <v>0</v>
      </c>
      <c r="E78" s="127">
        <v>0</v>
      </c>
      <c r="F78" s="127">
        <v>0</v>
      </c>
      <c r="G78" s="127">
        <v>0</v>
      </c>
      <c r="H78" s="127">
        <f t="shared" ref="H78" si="75">+G75/20</f>
        <v>918397.10972374049</v>
      </c>
      <c r="I78" s="127">
        <f t="shared" ref="I78" si="76">+H78</f>
        <v>918397.10972374049</v>
      </c>
      <c r="J78" s="127">
        <f t="shared" ref="J78" si="77">+I78</f>
        <v>918397.10972374049</v>
      </c>
      <c r="K78" s="127">
        <f t="shared" ref="K78" si="78">+J78</f>
        <v>918397.10972374049</v>
      </c>
      <c r="L78" s="127">
        <f t="shared" ref="L78" si="79">+K78</f>
        <v>918397.10972374049</v>
      </c>
      <c r="M78" s="127">
        <f t="shared" ref="M78" si="80">+L78</f>
        <v>918397.10972374049</v>
      </c>
      <c r="N78" s="127">
        <f t="shared" ref="N78" si="81">+M78</f>
        <v>918397.10972374049</v>
      </c>
      <c r="O78" s="127">
        <f t="shared" ref="O78" si="82">+N78</f>
        <v>918397.10972374049</v>
      </c>
      <c r="P78" s="127">
        <f t="shared" ref="P78" si="83">+O78</f>
        <v>918397.10972374049</v>
      </c>
      <c r="Q78" s="127">
        <f t="shared" ref="Q78" si="84">+P78</f>
        <v>918397.10972374049</v>
      </c>
      <c r="R78" s="127">
        <f t="shared" ref="R78" si="85">+Q78</f>
        <v>918397.10972374049</v>
      </c>
      <c r="S78" s="127">
        <f t="shared" ref="S78" si="86">+R78</f>
        <v>918397.10972374049</v>
      </c>
      <c r="T78" s="127">
        <f t="shared" ref="T78" si="87">+S78</f>
        <v>918397.10972374049</v>
      </c>
      <c r="U78" s="127">
        <f t="shared" ref="U78" si="88">+T78</f>
        <v>918397.10972374049</v>
      </c>
      <c r="V78" s="127">
        <f t="shared" ref="V78" si="89">+U78</f>
        <v>918397.10972374049</v>
      </c>
      <c r="W78" s="127">
        <f t="shared" ref="W78" si="90">+V78</f>
        <v>918397.10972374049</v>
      </c>
      <c r="X78" s="127">
        <f t="shared" ref="X78" si="91">+W78</f>
        <v>918397.10972374049</v>
      </c>
      <c r="Y78" s="127">
        <f t="shared" ref="Y78" si="92">+X78</f>
        <v>918397.10972374049</v>
      </c>
      <c r="Z78" s="127">
        <f t="shared" ref="Z78" si="93">+Y78</f>
        <v>918397.10972374049</v>
      </c>
      <c r="AA78" s="127">
        <f t="shared" ref="AA78" si="94">+Z78</f>
        <v>918397.10972374049</v>
      </c>
    </row>
    <row r="79" spans="2:27" hidden="1" x14ac:dyDescent="0.35">
      <c r="B79" t="s">
        <v>141</v>
      </c>
      <c r="C79" s="127">
        <f t="shared" ref="C79:AA79" si="95">+C77+C78</f>
        <v>0</v>
      </c>
      <c r="D79" s="127">
        <f t="shared" si="95"/>
        <v>187500</v>
      </c>
      <c r="E79" s="127">
        <f t="shared" si="95"/>
        <v>434652.5</v>
      </c>
      <c r="F79" s="127">
        <f t="shared" si="95"/>
        <v>876876.58125000005</v>
      </c>
      <c r="G79" s="127">
        <f t="shared" si="95"/>
        <v>1443697.0012025</v>
      </c>
      <c r="H79" s="127">
        <f t="shared" si="95"/>
        <v>2755191.3291712217</v>
      </c>
      <c r="I79" s="127">
        <f t="shared" si="95"/>
        <v>2663351.6181988474</v>
      </c>
      <c r="J79" s="127">
        <f t="shared" si="95"/>
        <v>2571511.9072264731</v>
      </c>
      <c r="K79" s="127">
        <f t="shared" si="95"/>
        <v>2479672.1962540993</v>
      </c>
      <c r="L79" s="127">
        <f t="shared" si="95"/>
        <v>2387832.4852817254</v>
      </c>
      <c r="M79" s="127">
        <f t="shared" si="95"/>
        <v>2295992.7743093511</v>
      </c>
      <c r="N79" s="127">
        <f t="shared" si="95"/>
        <v>2204153.0633369768</v>
      </c>
      <c r="O79" s="127">
        <f t="shared" si="95"/>
        <v>2112313.3523646025</v>
      </c>
      <c r="P79" s="127">
        <f t="shared" si="95"/>
        <v>2020473.6413922287</v>
      </c>
      <c r="Q79" s="127">
        <f t="shared" si="95"/>
        <v>1928633.9304198546</v>
      </c>
      <c r="R79" s="127">
        <f t="shared" si="95"/>
        <v>1836794.2194474805</v>
      </c>
      <c r="S79" s="127">
        <f t="shared" si="95"/>
        <v>1744954.5084751064</v>
      </c>
      <c r="T79" s="127">
        <f t="shared" si="95"/>
        <v>1653114.7975027324</v>
      </c>
      <c r="U79" s="127">
        <f t="shared" si="95"/>
        <v>1561275.0865303583</v>
      </c>
      <c r="V79" s="127">
        <f t="shared" si="95"/>
        <v>1469435.3755579842</v>
      </c>
      <c r="W79" s="127">
        <f t="shared" si="95"/>
        <v>1377595.6645856104</v>
      </c>
      <c r="X79" s="127">
        <f t="shared" si="95"/>
        <v>1285755.9536132363</v>
      </c>
      <c r="Y79" s="127">
        <f t="shared" si="95"/>
        <v>1193916.2426408622</v>
      </c>
      <c r="Z79" s="127">
        <f t="shared" si="95"/>
        <v>1102076.5316684882</v>
      </c>
      <c r="AA79" s="127">
        <f t="shared" si="95"/>
        <v>1010236.8197237405</v>
      </c>
    </row>
    <row r="80" spans="2:27" hidden="1" x14ac:dyDescent="0.35"/>
    <row r="81" spans="1:27" hidden="1" x14ac:dyDescent="0.35">
      <c r="B81" t="s">
        <v>127</v>
      </c>
    </row>
    <row r="82" spans="1:27" hidden="1" x14ac:dyDescent="0.35">
      <c r="A82" t="s">
        <v>196</v>
      </c>
      <c r="B82" s="128" t="str">
        <f>'Sensitivity 2'!F2</f>
        <v>Geological Risk</v>
      </c>
    </row>
    <row r="83" spans="1:27" hidden="1" x14ac:dyDescent="0.35">
      <c r="B83" s="38" t="s">
        <v>66</v>
      </c>
      <c r="C83" s="57">
        <f t="shared" ref="C83:AA83" si="96">C3</f>
        <v>0</v>
      </c>
      <c r="D83" s="57">
        <f t="shared" si="96"/>
        <v>1</v>
      </c>
      <c r="E83" s="57">
        <f t="shared" si="96"/>
        <v>2</v>
      </c>
      <c r="F83" s="57">
        <f t="shared" si="96"/>
        <v>3</v>
      </c>
      <c r="G83" s="57">
        <f t="shared" si="96"/>
        <v>4</v>
      </c>
      <c r="H83" s="57">
        <f t="shared" si="96"/>
        <v>5</v>
      </c>
      <c r="I83" s="57">
        <f t="shared" si="96"/>
        <v>6</v>
      </c>
      <c r="J83" s="57">
        <f t="shared" si="96"/>
        <v>7</v>
      </c>
      <c r="K83" s="57">
        <f t="shared" si="96"/>
        <v>8</v>
      </c>
      <c r="L83" s="57">
        <f t="shared" si="96"/>
        <v>9</v>
      </c>
      <c r="M83" s="57">
        <f t="shared" si="96"/>
        <v>10</v>
      </c>
      <c r="N83" s="57">
        <f t="shared" si="96"/>
        <v>11</v>
      </c>
      <c r="O83" s="57">
        <f t="shared" si="96"/>
        <v>12</v>
      </c>
      <c r="P83" s="57">
        <f t="shared" si="96"/>
        <v>13</v>
      </c>
      <c r="Q83" s="57">
        <f t="shared" si="96"/>
        <v>14</v>
      </c>
      <c r="R83" s="57">
        <f t="shared" si="96"/>
        <v>15</v>
      </c>
      <c r="S83" s="57">
        <f t="shared" si="96"/>
        <v>16</v>
      </c>
      <c r="T83" s="57">
        <f t="shared" si="96"/>
        <v>17</v>
      </c>
      <c r="U83" s="57">
        <f t="shared" si="96"/>
        <v>18</v>
      </c>
      <c r="V83" s="57">
        <f t="shared" si="96"/>
        <v>19</v>
      </c>
      <c r="W83" s="57">
        <f t="shared" si="96"/>
        <v>20</v>
      </c>
      <c r="X83" s="57">
        <f t="shared" si="96"/>
        <v>21</v>
      </c>
      <c r="Y83" s="57">
        <f t="shared" si="96"/>
        <v>22</v>
      </c>
      <c r="Z83" s="57">
        <f t="shared" si="96"/>
        <v>23</v>
      </c>
      <c r="AA83" s="57">
        <f t="shared" si="96"/>
        <v>24</v>
      </c>
    </row>
    <row r="84" spans="1:27" hidden="1" x14ac:dyDescent="0.35">
      <c r="B84" s="3" t="str">
        <f t="shared" ref="B84:B112" si="97">B4</f>
        <v>Incomes</v>
      </c>
      <c r="C84" s="83">
        <f t="shared" ref="C84:AA84" si="98">C85</f>
        <v>0</v>
      </c>
      <c r="D84" s="83">
        <f t="shared" si="98"/>
        <v>0</v>
      </c>
      <c r="E84" s="83">
        <f t="shared" si="98"/>
        <v>0</v>
      </c>
      <c r="F84" s="83">
        <f t="shared" si="98"/>
        <v>0</v>
      </c>
      <c r="G84" s="83">
        <f t="shared" si="98"/>
        <v>0</v>
      </c>
      <c r="H84" s="83">
        <f t="shared" si="98"/>
        <v>371438</v>
      </c>
      <c r="I84" s="83">
        <f t="shared" si="98"/>
        <v>371438</v>
      </c>
      <c r="J84" s="83">
        <f t="shared" si="98"/>
        <v>371438</v>
      </c>
      <c r="K84" s="83">
        <f t="shared" si="98"/>
        <v>371438</v>
      </c>
      <c r="L84" s="83">
        <f t="shared" si="98"/>
        <v>371438</v>
      </c>
      <c r="M84" s="83">
        <f t="shared" si="98"/>
        <v>371438</v>
      </c>
      <c r="N84" s="83">
        <f t="shared" si="98"/>
        <v>371438</v>
      </c>
      <c r="O84" s="83">
        <f t="shared" si="98"/>
        <v>371438</v>
      </c>
      <c r="P84" s="83">
        <f t="shared" si="98"/>
        <v>492526</v>
      </c>
      <c r="Q84" s="83">
        <f t="shared" si="98"/>
        <v>371438</v>
      </c>
      <c r="R84" s="83">
        <f t="shared" si="98"/>
        <v>371438</v>
      </c>
      <c r="S84" s="83">
        <f t="shared" si="98"/>
        <v>371438</v>
      </c>
      <c r="T84" s="83">
        <f t="shared" si="98"/>
        <v>371438</v>
      </c>
      <c r="U84" s="83">
        <f t="shared" si="98"/>
        <v>371438</v>
      </c>
      <c r="V84" s="83">
        <f t="shared" si="98"/>
        <v>371438</v>
      </c>
      <c r="W84" s="83">
        <f t="shared" si="98"/>
        <v>371438</v>
      </c>
      <c r="X84" s="83">
        <f t="shared" si="98"/>
        <v>371438</v>
      </c>
      <c r="Y84" s="83">
        <f t="shared" si="98"/>
        <v>371438</v>
      </c>
      <c r="Z84" s="83">
        <f t="shared" si="98"/>
        <v>371438</v>
      </c>
      <c r="AA84" s="83">
        <f t="shared" si="98"/>
        <v>371438.05000000005</v>
      </c>
    </row>
    <row r="85" spans="1:27" hidden="1" x14ac:dyDescent="0.35">
      <c r="B85" s="69" t="str">
        <f t="shared" si="97"/>
        <v>Incremental Taxes</v>
      </c>
      <c r="C85" s="85">
        <f>C5</f>
        <v>0</v>
      </c>
      <c r="D85" s="85">
        <f t="shared" ref="D85:AA85" si="99">D$5</f>
        <v>0</v>
      </c>
      <c r="E85" s="85">
        <f t="shared" si="99"/>
        <v>0</v>
      </c>
      <c r="F85" s="85">
        <f t="shared" si="99"/>
        <v>0</v>
      </c>
      <c r="G85" s="85">
        <f t="shared" si="99"/>
        <v>0</v>
      </c>
      <c r="H85" s="85">
        <f t="shared" si="99"/>
        <v>371438</v>
      </c>
      <c r="I85" s="85">
        <f t="shared" si="99"/>
        <v>371438</v>
      </c>
      <c r="J85" s="85">
        <f t="shared" si="99"/>
        <v>371438</v>
      </c>
      <c r="K85" s="85">
        <f t="shared" si="99"/>
        <v>371438</v>
      </c>
      <c r="L85" s="85">
        <f t="shared" si="99"/>
        <v>371438</v>
      </c>
      <c r="M85" s="85">
        <f t="shared" si="99"/>
        <v>371438</v>
      </c>
      <c r="N85" s="85">
        <f t="shared" si="99"/>
        <v>371438</v>
      </c>
      <c r="O85" s="85">
        <f t="shared" si="99"/>
        <v>371438</v>
      </c>
      <c r="P85" s="85">
        <f t="shared" si="99"/>
        <v>492526</v>
      </c>
      <c r="Q85" s="85">
        <f t="shared" si="99"/>
        <v>371438</v>
      </c>
      <c r="R85" s="85">
        <f t="shared" si="99"/>
        <v>371438</v>
      </c>
      <c r="S85" s="85">
        <f t="shared" si="99"/>
        <v>371438</v>
      </c>
      <c r="T85" s="85">
        <f t="shared" si="99"/>
        <v>371438</v>
      </c>
      <c r="U85" s="85">
        <f t="shared" si="99"/>
        <v>371438</v>
      </c>
      <c r="V85" s="85">
        <f t="shared" si="99"/>
        <v>371438</v>
      </c>
      <c r="W85" s="85">
        <f t="shared" si="99"/>
        <v>371438</v>
      </c>
      <c r="X85" s="85">
        <f t="shared" si="99"/>
        <v>371438</v>
      </c>
      <c r="Y85" s="85">
        <f t="shared" si="99"/>
        <v>371438</v>
      </c>
      <c r="Z85" s="85">
        <f t="shared" si="99"/>
        <v>371438</v>
      </c>
      <c r="AA85" s="85">
        <f t="shared" si="99"/>
        <v>371438.05000000005</v>
      </c>
    </row>
    <row r="86" spans="1:27" hidden="1" x14ac:dyDescent="0.35">
      <c r="B86" s="3" t="str">
        <f t="shared" si="97"/>
        <v>Expenses</v>
      </c>
      <c r="C86" s="83">
        <f t="shared" ref="C86:AA86" si="100">C87+C88</f>
        <v>0</v>
      </c>
      <c r="D86" s="83">
        <f t="shared" si="100"/>
        <v>187500</v>
      </c>
      <c r="E86" s="83">
        <f t="shared" si="100"/>
        <v>434652.5</v>
      </c>
      <c r="F86" s="83">
        <f t="shared" si="100"/>
        <v>1509972.0966099999</v>
      </c>
      <c r="G86" s="83">
        <f t="shared" si="100"/>
        <v>4014064.7935640984</v>
      </c>
      <c r="H86" s="83">
        <f t="shared" si="100"/>
        <v>2847816.2078251997</v>
      </c>
      <c r="I86" s="83">
        <f t="shared" si="100"/>
        <v>2771141.8266784917</v>
      </c>
      <c r="J86" s="83">
        <f t="shared" si="100"/>
        <v>2694694.9254791681</v>
      </c>
      <c r="K86" s="83">
        <f t="shared" si="100"/>
        <v>2618478.9164264407</v>
      </c>
      <c r="L86" s="83">
        <f t="shared" si="100"/>
        <v>2542497.2629025076</v>
      </c>
      <c r="M86" s="83">
        <f t="shared" si="100"/>
        <v>2466753.4802403012</v>
      </c>
      <c r="N86" s="83">
        <f t="shared" si="100"/>
        <v>2391251.1365027474</v>
      </c>
      <c r="O86" s="83">
        <f t="shared" si="100"/>
        <v>2315993.8532737158</v>
      </c>
      <c r="P86" s="83">
        <f t="shared" si="100"/>
        <v>2964860.3721905053</v>
      </c>
      <c r="Q86" s="83">
        <f t="shared" si="100"/>
        <v>5105161.9939728081</v>
      </c>
      <c r="R86" s="83">
        <f t="shared" si="100"/>
        <v>2091729.4022341846</v>
      </c>
      <c r="S86" s="83">
        <f t="shared" si="100"/>
        <v>2017489.6756494672</v>
      </c>
      <c r="T86" s="83">
        <f t="shared" si="100"/>
        <v>1943513.9488305645</v>
      </c>
      <c r="U86" s="83">
        <f t="shared" si="100"/>
        <v>1869806.1817739638</v>
      </c>
      <c r="V86" s="83">
        <f t="shared" si="100"/>
        <v>1796370.3938761</v>
      </c>
      <c r="W86" s="83">
        <f t="shared" si="100"/>
        <v>1723210.6648243535</v>
      </c>
      <c r="X86" s="83">
        <f t="shared" si="100"/>
        <v>1650331.1355014166</v>
      </c>
      <c r="Y86" s="83">
        <f t="shared" si="100"/>
        <v>1577736.0089032212</v>
      </c>
      <c r="Z86" s="83">
        <f t="shared" si="100"/>
        <v>1505429.5510706385</v>
      </c>
      <c r="AA86" s="83">
        <f t="shared" si="100"/>
        <v>1433416.0910627791</v>
      </c>
    </row>
    <row r="87" spans="1:27" hidden="1" x14ac:dyDescent="0.35">
      <c r="B87" s="69" t="str">
        <f t="shared" si="97"/>
        <v>Interest Expense</v>
      </c>
      <c r="C87" s="85">
        <f t="shared" ref="C87:AA87" si="101">+C117</f>
        <v>0</v>
      </c>
      <c r="D87" s="85">
        <f t="shared" si="101"/>
        <v>187500</v>
      </c>
      <c r="E87" s="85">
        <f t="shared" si="101"/>
        <v>434652.5</v>
      </c>
      <c r="F87" s="85">
        <f t="shared" si="101"/>
        <v>876876.58125000005</v>
      </c>
      <c r="G87" s="85">
        <f t="shared" si="101"/>
        <v>1443697.0012025</v>
      </c>
      <c r="H87" s="85">
        <f t="shared" si="101"/>
        <v>1836794.219447481</v>
      </c>
      <c r="I87" s="85">
        <f t="shared" si="101"/>
        <v>1744954.5084751071</v>
      </c>
      <c r="J87" s="85">
        <f t="shared" si="101"/>
        <v>1653114.7975027328</v>
      </c>
      <c r="K87" s="85">
        <f t="shared" si="101"/>
        <v>1561275.0865303588</v>
      </c>
      <c r="L87" s="85">
        <f t="shared" si="101"/>
        <v>1469435.3755579847</v>
      </c>
      <c r="M87" s="85">
        <f t="shared" si="101"/>
        <v>1377595.6645856106</v>
      </c>
      <c r="N87" s="85">
        <f t="shared" si="101"/>
        <v>1285755.9536132365</v>
      </c>
      <c r="O87" s="85">
        <f t="shared" si="101"/>
        <v>1193916.2426408622</v>
      </c>
      <c r="P87" s="85">
        <f t="shared" si="101"/>
        <v>1102076.5316684882</v>
      </c>
      <c r="Q87" s="85">
        <f t="shared" si="101"/>
        <v>1010236.8206961141</v>
      </c>
      <c r="R87" s="85">
        <f t="shared" si="101"/>
        <v>918397.10972373991</v>
      </c>
      <c r="S87" s="85">
        <f t="shared" si="101"/>
        <v>826557.39875136595</v>
      </c>
      <c r="T87" s="85">
        <f t="shared" si="101"/>
        <v>734717.68777899188</v>
      </c>
      <c r="U87" s="85">
        <f t="shared" si="101"/>
        <v>642877.97680661781</v>
      </c>
      <c r="V87" s="85">
        <f t="shared" si="101"/>
        <v>551038.26583424385</v>
      </c>
      <c r="W87" s="85">
        <f t="shared" si="101"/>
        <v>459198.55486186978</v>
      </c>
      <c r="X87" s="85">
        <f t="shared" si="101"/>
        <v>367358.84388949577</v>
      </c>
      <c r="Y87" s="85">
        <f t="shared" si="101"/>
        <v>275519.13291712169</v>
      </c>
      <c r="Z87" s="85">
        <f t="shared" si="101"/>
        <v>183679.42194474768</v>
      </c>
      <c r="AA87" s="85">
        <f t="shared" si="101"/>
        <v>91839.71</v>
      </c>
    </row>
    <row r="88" spans="1:27" hidden="1" x14ac:dyDescent="0.35">
      <c r="B88" s="69" t="str">
        <f t="shared" si="97"/>
        <v>Operating Expenses</v>
      </c>
      <c r="C88" s="85">
        <f t="shared" ref="C88:AA88" si="102">SUM(C89:C91)</f>
        <v>0</v>
      </c>
      <c r="D88" s="85">
        <f t="shared" si="102"/>
        <v>0</v>
      </c>
      <c r="E88" s="85">
        <f t="shared" si="102"/>
        <v>0</v>
      </c>
      <c r="F88" s="85">
        <f t="shared" si="102"/>
        <v>633095.51535999984</v>
      </c>
      <c r="G88" s="85">
        <f t="shared" si="102"/>
        <v>2570367.7923615985</v>
      </c>
      <c r="H88" s="85">
        <f t="shared" si="102"/>
        <v>1011021.988377719</v>
      </c>
      <c r="I88" s="85">
        <f t="shared" si="102"/>
        <v>1026187.3182033846</v>
      </c>
      <c r="J88" s="85">
        <f t="shared" si="102"/>
        <v>1041580.1279764354</v>
      </c>
      <c r="K88" s="85">
        <f t="shared" si="102"/>
        <v>1057203.8298960817</v>
      </c>
      <c r="L88" s="85">
        <f t="shared" si="102"/>
        <v>1073061.8873445229</v>
      </c>
      <c r="M88" s="85">
        <f t="shared" si="102"/>
        <v>1089157.8156546906</v>
      </c>
      <c r="N88" s="85">
        <f t="shared" si="102"/>
        <v>1105495.1828895109</v>
      </c>
      <c r="O88" s="85">
        <f t="shared" si="102"/>
        <v>1122077.6106328536</v>
      </c>
      <c r="P88" s="85">
        <f t="shared" si="102"/>
        <v>1862783.8405220169</v>
      </c>
      <c r="Q88" s="85">
        <f t="shared" si="102"/>
        <v>4094925.173276694</v>
      </c>
      <c r="R88" s="85">
        <f t="shared" si="102"/>
        <v>1173332.2925104445</v>
      </c>
      <c r="S88" s="85">
        <f t="shared" si="102"/>
        <v>1190932.2768981012</v>
      </c>
      <c r="T88" s="85">
        <f t="shared" si="102"/>
        <v>1208796.2610515726</v>
      </c>
      <c r="U88" s="85">
        <f t="shared" si="102"/>
        <v>1226928.204967346</v>
      </c>
      <c r="V88" s="85">
        <f t="shared" si="102"/>
        <v>1245332.128041856</v>
      </c>
      <c r="W88" s="85">
        <f t="shared" si="102"/>
        <v>1264012.1099624839</v>
      </c>
      <c r="X88" s="85">
        <f t="shared" si="102"/>
        <v>1282972.2916119208</v>
      </c>
      <c r="Y88" s="85">
        <f t="shared" si="102"/>
        <v>1302216.8759860995</v>
      </c>
      <c r="Z88" s="85">
        <f t="shared" si="102"/>
        <v>1321750.1291258908</v>
      </c>
      <c r="AA88" s="85">
        <f t="shared" si="102"/>
        <v>1341576.3810627791</v>
      </c>
    </row>
    <row r="89" spans="1:27" hidden="1" x14ac:dyDescent="0.35">
      <c r="B89" s="129" t="str">
        <f t="shared" si="97"/>
        <v>Operation</v>
      </c>
      <c r="C89" s="85">
        <f t="shared" ref="C89:AA89" si="103">C9</f>
        <v>0</v>
      </c>
      <c r="D89" s="85">
        <f t="shared" si="103"/>
        <v>0</v>
      </c>
      <c r="E89" s="85">
        <f t="shared" si="103"/>
        <v>0</v>
      </c>
      <c r="F89" s="85">
        <f t="shared" si="103"/>
        <v>0</v>
      </c>
      <c r="G89" s="85">
        <f t="shared" si="103"/>
        <v>0</v>
      </c>
      <c r="H89" s="85">
        <f t="shared" si="103"/>
        <v>92624.878653978507</v>
      </c>
      <c r="I89" s="85">
        <f t="shared" si="103"/>
        <v>94014.251833788163</v>
      </c>
      <c r="J89" s="85">
        <f t="shared" si="103"/>
        <v>95424.465611294974</v>
      </c>
      <c r="K89" s="85">
        <f t="shared" si="103"/>
        <v>96855.832595464381</v>
      </c>
      <c r="L89" s="85">
        <f t="shared" si="103"/>
        <v>98308.670084396334</v>
      </c>
      <c r="M89" s="85">
        <f t="shared" si="103"/>
        <v>99783.30013566227</v>
      </c>
      <c r="N89" s="85">
        <f t="shared" si="103"/>
        <v>101280.0496376972</v>
      </c>
      <c r="O89" s="85">
        <f t="shared" si="103"/>
        <v>102799.25038226263</v>
      </c>
      <c r="P89" s="85">
        <f t="shared" si="103"/>
        <v>104341.23913799657</v>
      </c>
      <c r="Q89" s="85">
        <f t="shared" si="103"/>
        <v>105906.35772506648</v>
      </c>
      <c r="R89" s="85">
        <f t="shared" si="103"/>
        <v>107494.95309094246</v>
      </c>
      <c r="S89" s="85">
        <f t="shared" si="103"/>
        <v>109107.37738730659</v>
      </c>
      <c r="T89" s="85">
        <f t="shared" si="103"/>
        <v>110743.98804811617</v>
      </c>
      <c r="U89" s="85">
        <f t="shared" si="103"/>
        <v>112405.14786883791</v>
      </c>
      <c r="V89" s="85">
        <f t="shared" si="103"/>
        <v>114091.22508687047</v>
      </c>
      <c r="W89" s="85">
        <f t="shared" si="103"/>
        <v>115802.59346317349</v>
      </c>
      <c r="X89" s="85">
        <f t="shared" si="103"/>
        <v>117539.63236512108</v>
      </c>
      <c r="Y89" s="85">
        <f t="shared" si="103"/>
        <v>119302.72685059787</v>
      </c>
      <c r="Z89" s="85">
        <f t="shared" si="103"/>
        <v>121092.26775335683</v>
      </c>
      <c r="AA89" s="85">
        <f t="shared" si="103"/>
        <v>122908.65176965717</v>
      </c>
    </row>
    <row r="90" spans="1:27" hidden="1" x14ac:dyDescent="0.35">
      <c r="B90" s="129" t="str">
        <f t="shared" si="97"/>
        <v>Maintenance</v>
      </c>
      <c r="C90" s="85">
        <f>C10</f>
        <v>0</v>
      </c>
      <c r="D90" s="85">
        <f>D10</f>
        <v>0</v>
      </c>
      <c r="E90" s="85">
        <f>E10</f>
        <v>0</v>
      </c>
      <c r="F90" s="85">
        <f>F10</f>
        <v>0</v>
      </c>
      <c r="G90" s="85">
        <f>G10</f>
        <v>0</v>
      </c>
      <c r="H90" s="85">
        <f>SUM(C97:G97)*0.05</f>
        <v>918397.10972374049</v>
      </c>
      <c r="I90" s="85">
        <f>H90*(1+'Sensitivity 2'!$D$5)</f>
        <v>932173.06636959652</v>
      </c>
      <c r="J90" s="85">
        <f>I90*(1+'Sensitivity 2'!$D$5)</f>
        <v>946155.66236514039</v>
      </c>
      <c r="K90" s="85">
        <f>J90*(1+'Sensitivity 2'!$D$5)</f>
        <v>960347.9973006174</v>
      </c>
      <c r="L90" s="85">
        <f>K90*(1+'Sensitivity 2'!$D$5)</f>
        <v>974753.21726012661</v>
      </c>
      <c r="M90" s="85">
        <f>L90*(1+'Sensitivity 2'!$D$5)</f>
        <v>989374.51551902841</v>
      </c>
      <c r="N90" s="85">
        <f>M90*(1+'Sensitivity 2'!$D$5)</f>
        <v>1004215.1332518137</v>
      </c>
      <c r="O90" s="85">
        <f>N90*(1+'Sensitivity 2'!$D$5)</f>
        <v>1019278.3602505908</v>
      </c>
      <c r="P90" s="85">
        <f>O90*(1+'Sensitivity 2'!$D$5)</f>
        <v>1034567.5356543496</v>
      </c>
      <c r="Q90" s="85">
        <f>P90*(1+'Sensitivity 2'!$D$5)</f>
        <v>1050086.0486891647</v>
      </c>
      <c r="R90" s="85">
        <f>Q90*(1+'Sensitivity 2'!$D$5)</f>
        <v>1065837.3394195021</v>
      </c>
      <c r="S90" s="85">
        <f>R90*(1+'Sensitivity 2'!$D$5)</f>
        <v>1081824.8995107946</v>
      </c>
      <c r="T90" s="85">
        <f>S90*(1+'Sensitivity 2'!$D$5)</f>
        <v>1098052.2730034564</v>
      </c>
      <c r="U90" s="85">
        <f>T90*(1+'Sensitivity 2'!$D$5)</f>
        <v>1114523.0570985081</v>
      </c>
      <c r="V90" s="85">
        <f>U90*(1+'Sensitivity 2'!$D$5)</f>
        <v>1131240.9029549856</v>
      </c>
      <c r="W90" s="85">
        <f>V90*(1+'Sensitivity 2'!$D$5)</f>
        <v>1148209.5164993103</v>
      </c>
      <c r="X90" s="85">
        <f>W90*(1+'Sensitivity 2'!$D$5)</f>
        <v>1165432.6592467998</v>
      </c>
      <c r="Y90" s="85">
        <f>X90*(1+'Sensitivity 2'!$D$5)</f>
        <v>1182914.1491355016</v>
      </c>
      <c r="Z90" s="85">
        <f>Y90*(1+'Sensitivity 2'!$D$5)</f>
        <v>1200657.861372534</v>
      </c>
      <c r="AA90" s="85">
        <f>Z90*(1+'Sensitivity 2'!$D$5)</f>
        <v>1218667.729293122</v>
      </c>
    </row>
    <row r="91" spans="1:27" hidden="1" collapsed="1" x14ac:dyDescent="0.35">
      <c r="B91" s="129" t="str">
        <f t="shared" si="97"/>
        <v>Equipment Subsidy</v>
      </c>
      <c r="C91" s="85">
        <f t="shared" ref="C91:Z91" si="104">+SUM(C92:C96)</f>
        <v>0</v>
      </c>
      <c r="D91" s="85">
        <f t="shared" si="104"/>
        <v>0</v>
      </c>
      <c r="E91" s="85">
        <f t="shared" si="104"/>
        <v>0</v>
      </c>
      <c r="F91" s="85">
        <f t="shared" si="104"/>
        <v>633095.51535999984</v>
      </c>
      <c r="G91" s="85">
        <f t="shared" si="104"/>
        <v>2570367.7923615985</v>
      </c>
      <c r="H91" s="85">
        <f t="shared" si="104"/>
        <v>0</v>
      </c>
      <c r="I91" s="85">
        <f t="shared" si="104"/>
        <v>0</v>
      </c>
      <c r="J91" s="85">
        <f t="shared" si="104"/>
        <v>0</v>
      </c>
      <c r="K91" s="85">
        <f t="shared" si="104"/>
        <v>0</v>
      </c>
      <c r="L91" s="85">
        <f t="shared" si="104"/>
        <v>0</v>
      </c>
      <c r="M91" s="85">
        <f t="shared" si="104"/>
        <v>0</v>
      </c>
      <c r="N91" s="85">
        <f t="shared" si="104"/>
        <v>0</v>
      </c>
      <c r="O91" s="85">
        <f t="shared" si="104"/>
        <v>0</v>
      </c>
      <c r="P91" s="85">
        <f t="shared" si="104"/>
        <v>723875.06572967069</v>
      </c>
      <c r="Q91" s="85">
        <f t="shared" si="104"/>
        <v>2938932.7668624627</v>
      </c>
      <c r="R91" s="85">
        <f t="shared" si="104"/>
        <v>0</v>
      </c>
      <c r="S91" s="85">
        <f t="shared" si="104"/>
        <v>0</v>
      </c>
      <c r="T91" s="85">
        <f t="shared" si="104"/>
        <v>0</v>
      </c>
      <c r="U91" s="85">
        <f t="shared" si="104"/>
        <v>0</v>
      </c>
      <c r="V91" s="85">
        <f t="shared" si="104"/>
        <v>0</v>
      </c>
      <c r="W91" s="85">
        <f t="shared" si="104"/>
        <v>0</v>
      </c>
      <c r="X91" s="85">
        <f t="shared" si="104"/>
        <v>0</v>
      </c>
      <c r="Y91" s="85">
        <f t="shared" si="104"/>
        <v>0</v>
      </c>
      <c r="Z91" s="85">
        <f t="shared" si="104"/>
        <v>0</v>
      </c>
      <c r="AA91" s="85">
        <f t="shared" ref="AA91" si="105">+SUM(AA92:AA96)</f>
        <v>0</v>
      </c>
    </row>
    <row r="92" spans="1:27" hidden="1" outlineLevel="1" x14ac:dyDescent="0.35">
      <c r="B92" s="133" t="str">
        <f t="shared" si="97"/>
        <v>Tractors</v>
      </c>
      <c r="C92" s="85">
        <f t="shared" ref="C92:AA92" si="106">C12</f>
        <v>0</v>
      </c>
      <c r="D92" s="85">
        <f t="shared" si="106"/>
        <v>0</v>
      </c>
      <c r="E92" s="85">
        <f t="shared" si="106"/>
        <v>0</v>
      </c>
      <c r="F92" s="85">
        <f t="shared" si="106"/>
        <v>122302.54273999996</v>
      </c>
      <c r="G92" s="85">
        <f t="shared" si="106"/>
        <v>496548.32352439972</v>
      </c>
      <c r="H92" s="85">
        <f t="shared" si="106"/>
        <v>0</v>
      </c>
      <c r="I92" s="85">
        <f t="shared" si="106"/>
        <v>0</v>
      </c>
      <c r="J92" s="85">
        <f t="shared" si="106"/>
        <v>0</v>
      </c>
      <c r="K92" s="85">
        <f t="shared" si="106"/>
        <v>0</v>
      </c>
      <c r="L92" s="85">
        <f t="shared" si="106"/>
        <v>0</v>
      </c>
      <c r="M92" s="85">
        <f t="shared" si="106"/>
        <v>0</v>
      </c>
      <c r="N92" s="85">
        <f t="shared" si="106"/>
        <v>0</v>
      </c>
      <c r="O92" s="85">
        <f t="shared" si="106"/>
        <v>0</v>
      </c>
      <c r="P92" s="85">
        <f t="shared" si="106"/>
        <v>139839.50133414092</v>
      </c>
      <c r="Q92" s="85">
        <f t="shared" si="106"/>
        <v>567748.37541661214</v>
      </c>
      <c r="R92" s="85">
        <f t="shared" si="106"/>
        <v>0</v>
      </c>
      <c r="S92" s="85">
        <f t="shared" si="106"/>
        <v>0</v>
      </c>
      <c r="T92" s="85">
        <f t="shared" si="106"/>
        <v>0</v>
      </c>
      <c r="U92" s="85">
        <f t="shared" si="106"/>
        <v>0</v>
      </c>
      <c r="V92" s="85">
        <f t="shared" si="106"/>
        <v>0</v>
      </c>
      <c r="W92" s="85">
        <f t="shared" si="106"/>
        <v>0</v>
      </c>
      <c r="X92" s="85">
        <f t="shared" si="106"/>
        <v>0</v>
      </c>
      <c r="Y92" s="85">
        <f t="shared" si="106"/>
        <v>0</v>
      </c>
      <c r="Z92" s="85">
        <f t="shared" si="106"/>
        <v>0</v>
      </c>
      <c r="AA92" s="85">
        <f t="shared" si="106"/>
        <v>0</v>
      </c>
    </row>
    <row r="93" spans="1:27" hidden="1" outlineLevel="1" x14ac:dyDescent="0.35">
      <c r="B93" s="133" t="str">
        <f t="shared" si="97"/>
        <v>Vertical tillage tools</v>
      </c>
      <c r="C93" s="85">
        <f t="shared" ref="C93:AA93" si="107">C13</f>
        <v>0</v>
      </c>
      <c r="D93" s="85">
        <f t="shared" si="107"/>
        <v>0</v>
      </c>
      <c r="E93" s="85">
        <f t="shared" si="107"/>
        <v>0</v>
      </c>
      <c r="F93" s="85">
        <f t="shared" si="107"/>
        <v>68345.538589999967</v>
      </c>
      <c r="G93" s="85">
        <f t="shared" si="107"/>
        <v>277482.88667539984</v>
      </c>
      <c r="H93" s="85">
        <f t="shared" si="107"/>
        <v>0</v>
      </c>
      <c r="I93" s="85">
        <f t="shared" si="107"/>
        <v>0</v>
      </c>
      <c r="J93" s="85">
        <f t="shared" si="107"/>
        <v>0</v>
      </c>
      <c r="K93" s="85">
        <f t="shared" si="107"/>
        <v>0</v>
      </c>
      <c r="L93" s="85">
        <f t="shared" si="107"/>
        <v>0</v>
      </c>
      <c r="M93" s="85">
        <f t="shared" si="107"/>
        <v>0</v>
      </c>
      <c r="N93" s="85">
        <f t="shared" si="107"/>
        <v>0</v>
      </c>
      <c r="O93" s="85">
        <f t="shared" si="107"/>
        <v>0</v>
      </c>
      <c r="P93" s="85">
        <f t="shared" si="107"/>
        <v>78145.603686725808</v>
      </c>
      <c r="Q93" s="85">
        <f t="shared" si="107"/>
        <v>317271.15096810681</v>
      </c>
      <c r="R93" s="85">
        <f t="shared" si="107"/>
        <v>0</v>
      </c>
      <c r="S93" s="85">
        <f t="shared" si="107"/>
        <v>0</v>
      </c>
      <c r="T93" s="85">
        <f t="shared" si="107"/>
        <v>0</v>
      </c>
      <c r="U93" s="85">
        <f t="shared" si="107"/>
        <v>0</v>
      </c>
      <c r="V93" s="85">
        <f t="shared" si="107"/>
        <v>0</v>
      </c>
      <c r="W93" s="85">
        <f t="shared" si="107"/>
        <v>0</v>
      </c>
      <c r="X93" s="85">
        <f t="shared" si="107"/>
        <v>0</v>
      </c>
      <c r="Y93" s="85">
        <f t="shared" si="107"/>
        <v>0</v>
      </c>
      <c r="Z93" s="85">
        <f t="shared" si="107"/>
        <v>0</v>
      </c>
      <c r="AA93" s="85">
        <f t="shared" si="107"/>
        <v>0</v>
      </c>
    </row>
    <row r="94" spans="1:27" hidden="1" outlineLevel="1" x14ac:dyDescent="0.35">
      <c r="B94" s="133" t="str">
        <f t="shared" si="97"/>
        <v>12-row planter</v>
      </c>
      <c r="C94" s="85">
        <f t="shared" ref="C94:AA94" si="108">C14</f>
        <v>0</v>
      </c>
      <c r="D94" s="85">
        <f t="shared" si="108"/>
        <v>0</v>
      </c>
      <c r="E94" s="85">
        <f t="shared" si="108"/>
        <v>0</v>
      </c>
      <c r="F94" s="85">
        <f t="shared" si="108"/>
        <v>93525.473859999969</v>
      </c>
      <c r="G94" s="85">
        <f t="shared" si="108"/>
        <v>379713.42387159978</v>
      </c>
      <c r="H94" s="85">
        <f t="shared" si="108"/>
        <v>0</v>
      </c>
      <c r="I94" s="85">
        <f t="shared" si="108"/>
        <v>0</v>
      </c>
      <c r="J94" s="85">
        <f t="shared" si="108"/>
        <v>0</v>
      </c>
      <c r="K94" s="85">
        <f t="shared" si="108"/>
        <v>0</v>
      </c>
      <c r="L94" s="85">
        <f t="shared" si="108"/>
        <v>0</v>
      </c>
      <c r="M94" s="85">
        <f t="shared" si="108"/>
        <v>0</v>
      </c>
      <c r="N94" s="85">
        <f t="shared" si="108"/>
        <v>0</v>
      </c>
      <c r="O94" s="85">
        <f t="shared" si="108"/>
        <v>0</v>
      </c>
      <c r="P94" s="85">
        <f t="shared" si="108"/>
        <v>106936.08925551953</v>
      </c>
      <c r="Q94" s="85">
        <f t="shared" si="108"/>
        <v>434160.52237740927</v>
      </c>
      <c r="R94" s="85">
        <f t="shared" si="108"/>
        <v>0</v>
      </c>
      <c r="S94" s="85">
        <f t="shared" si="108"/>
        <v>0</v>
      </c>
      <c r="T94" s="85">
        <f t="shared" si="108"/>
        <v>0</v>
      </c>
      <c r="U94" s="85">
        <f t="shared" si="108"/>
        <v>0</v>
      </c>
      <c r="V94" s="85">
        <f t="shared" si="108"/>
        <v>0</v>
      </c>
      <c r="W94" s="85">
        <f t="shared" si="108"/>
        <v>0</v>
      </c>
      <c r="X94" s="85">
        <f t="shared" si="108"/>
        <v>0</v>
      </c>
      <c r="Y94" s="85">
        <f t="shared" si="108"/>
        <v>0</v>
      </c>
      <c r="Z94" s="85">
        <f t="shared" si="108"/>
        <v>0</v>
      </c>
      <c r="AA94" s="85">
        <f t="shared" si="108"/>
        <v>0</v>
      </c>
    </row>
    <row r="95" spans="1:27" hidden="1" outlineLevel="1" x14ac:dyDescent="0.35">
      <c r="B95" s="133" t="str">
        <f t="shared" si="97"/>
        <v>Manure spreader</v>
      </c>
      <c r="C95" s="85">
        <f t="shared" ref="C95:AA95" si="109">C15</f>
        <v>0</v>
      </c>
      <c r="D95" s="85">
        <f t="shared" si="109"/>
        <v>0</v>
      </c>
      <c r="E95" s="85">
        <f t="shared" si="109"/>
        <v>0</v>
      </c>
      <c r="F95" s="85">
        <f t="shared" si="109"/>
        <v>46762.736929999985</v>
      </c>
      <c r="G95" s="85">
        <f t="shared" si="109"/>
        <v>189856.71193579989</v>
      </c>
      <c r="H95" s="85">
        <f t="shared" si="109"/>
        <v>0</v>
      </c>
      <c r="I95" s="85">
        <f t="shared" si="109"/>
        <v>0</v>
      </c>
      <c r="J95" s="85">
        <f t="shared" si="109"/>
        <v>0</v>
      </c>
      <c r="K95" s="85">
        <f t="shared" si="109"/>
        <v>0</v>
      </c>
      <c r="L95" s="85">
        <f t="shared" si="109"/>
        <v>0</v>
      </c>
      <c r="M95" s="85">
        <f t="shared" si="109"/>
        <v>0</v>
      </c>
      <c r="N95" s="85">
        <f t="shared" si="109"/>
        <v>0</v>
      </c>
      <c r="O95" s="85">
        <f t="shared" si="109"/>
        <v>0</v>
      </c>
      <c r="P95" s="85">
        <f t="shared" si="109"/>
        <v>53468.044627759766</v>
      </c>
      <c r="Q95" s="85">
        <f t="shared" si="109"/>
        <v>217080.26118870464</v>
      </c>
      <c r="R95" s="85">
        <f t="shared" si="109"/>
        <v>0</v>
      </c>
      <c r="S95" s="85">
        <f t="shared" si="109"/>
        <v>0</v>
      </c>
      <c r="T95" s="85">
        <f t="shared" si="109"/>
        <v>0</v>
      </c>
      <c r="U95" s="85">
        <f t="shared" si="109"/>
        <v>0</v>
      </c>
      <c r="V95" s="85">
        <f t="shared" si="109"/>
        <v>0</v>
      </c>
      <c r="W95" s="85">
        <f t="shared" si="109"/>
        <v>0</v>
      </c>
      <c r="X95" s="85">
        <f t="shared" si="109"/>
        <v>0</v>
      </c>
      <c r="Y95" s="85">
        <f t="shared" si="109"/>
        <v>0</v>
      </c>
      <c r="Z95" s="85">
        <f t="shared" si="109"/>
        <v>0</v>
      </c>
      <c r="AA95" s="85">
        <f t="shared" si="109"/>
        <v>0</v>
      </c>
    </row>
    <row r="96" spans="1:27" hidden="1" outlineLevel="1" x14ac:dyDescent="0.35">
      <c r="B96" s="133" t="str">
        <f t="shared" si="97"/>
        <v>Harvesters</v>
      </c>
      <c r="C96" s="85">
        <f t="shared" ref="C96:AA96" si="110">C16</f>
        <v>0</v>
      </c>
      <c r="D96" s="85">
        <f t="shared" si="110"/>
        <v>0</v>
      </c>
      <c r="E96" s="85">
        <f t="shared" si="110"/>
        <v>0</v>
      </c>
      <c r="F96" s="85">
        <f t="shared" si="110"/>
        <v>302159.2232399999</v>
      </c>
      <c r="G96" s="85">
        <f t="shared" si="110"/>
        <v>1226766.4463543994</v>
      </c>
      <c r="H96" s="85">
        <f t="shared" si="110"/>
        <v>0</v>
      </c>
      <c r="I96" s="85">
        <f t="shared" si="110"/>
        <v>0</v>
      </c>
      <c r="J96" s="85">
        <f t="shared" si="110"/>
        <v>0</v>
      </c>
      <c r="K96" s="85">
        <f t="shared" si="110"/>
        <v>0</v>
      </c>
      <c r="L96" s="85">
        <f t="shared" si="110"/>
        <v>0</v>
      </c>
      <c r="M96" s="85">
        <f t="shared" si="110"/>
        <v>0</v>
      </c>
      <c r="N96" s="85">
        <f t="shared" si="110"/>
        <v>0</v>
      </c>
      <c r="O96" s="85">
        <f t="shared" si="110"/>
        <v>0</v>
      </c>
      <c r="P96" s="85">
        <f t="shared" si="110"/>
        <v>345485.82682552468</v>
      </c>
      <c r="Q96" s="85">
        <f t="shared" si="110"/>
        <v>1402672.45691163</v>
      </c>
      <c r="R96" s="85">
        <f t="shared" si="110"/>
        <v>0</v>
      </c>
      <c r="S96" s="85">
        <f t="shared" si="110"/>
        <v>0</v>
      </c>
      <c r="T96" s="85">
        <f t="shared" si="110"/>
        <v>0</v>
      </c>
      <c r="U96" s="85">
        <f t="shared" si="110"/>
        <v>0</v>
      </c>
      <c r="V96" s="85">
        <f t="shared" si="110"/>
        <v>0</v>
      </c>
      <c r="W96" s="85">
        <f t="shared" si="110"/>
        <v>0</v>
      </c>
      <c r="X96" s="85">
        <f t="shared" si="110"/>
        <v>0</v>
      </c>
      <c r="Y96" s="85">
        <f t="shared" si="110"/>
        <v>0</v>
      </c>
      <c r="Z96" s="85">
        <f t="shared" si="110"/>
        <v>0</v>
      </c>
      <c r="AA96" s="85">
        <f t="shared" si="110"/>
        <v>0</v>
      </c>
    </row>
    <row r="97" spans="2:27" hidden="1" x14ac:dyDescent="0.35">
      <c r="B97" s="3" t="str">
        <f t="shared" si="97"/>
        <v>Gross Capital Formation</v>
      </c>
      <c r="C97" s="83">
        <f t="shared" ref="C97:E97" si="111">C98+C99</f>
        <v>1875000</v>
      </c>
      <c r="D97" s="83">
        <f t="shared" si="111"/>
        <v>2471524.9999999995</v>
      </c>
      <c r="E97" s="83">
        <f t="shared" si="111"/>
        <v>4422240.8124999991</v>
      </c>
      <c r="F97" s="83">
        <f t="shared" ref="F97" si="112">F98+F99</f>
        <v>5668204.1995249977</v>
      </c>
      <c r="G97" s="83">
        <f t="shared" ref="G97:AA97" si="113">G98+G99</f>
        <v>3930972.1824498107</v>
      </c>
      <c r="H97" s="83">
        <f t="shared" si="113"/>
        <v>0</v>
      </c>
      <c r="I97" s="83">
        <f t="shared" si="113"/>
        <v>0</v>
      </c>
      <c r="J97" s="83">
        <f t="shared" si="113"/>
        <v>0</v>
      </c>
      <c r="K97" s="83">
        <f t="shared" si="113"/>
        <v>0</v>
      </c>
      <c r="L97" s="83">
        <f t="shared" si="113"/>
        <v>0</v>
      </c>
      <c r="M97" s="83">
        <f t="shared" si="113"/>
        <v>0</v>
      </c>
      <c r="N97" s="83">
        <f t="shared" si="113"/>
        <v>0</v>
      </c>
      <c r="O97" s="83">
        <f t="shared" si="113"/>
        <v>0</v>
      </c>
      <c r="P97" s="83">
        <f t="shared" si="113"/>
        <v>0</v>
      </c>
      <c r="Q97" s="83">
        <f t="shared" si="113"/>
        <v>0</v>
      </c>
      <c r="R97" s="83">
        <f t="shared" si="113"/>
        <v>0</v>
      </c>
      <c r="S97" s="83">
        <f t="shared" si="113"/>
        <v>0</v>
      </c>
      <c r="T97" s="83">
        <f t="shared" si="113"/>
        <v>0</v>
      </c>
      <c r="U97" s="83">
        <f t="shared" si="113"/>
        <v>0</v>
      </c>
      <c r="V97" s="83">
        <f t="shared" si="113"/>
        <v>0</v>
      </c>
      <c r="W97" s="83">
        <f t="shared" si="113"/>
        <v>0</v>
      </c>
      <c r="X97" s="83">
        <f t="shared" si="113"/>
        <v>0</v>
      </c>
      <c r="Y97" s="83">
        <f t="shared" si="113"/>
        <v>0</v>
      </c>
      <c r="Z97" s="83">
        <f t="shared" si="113"/>
        <v>0</v>
      </c>
      <c r="AA97" s="83">
        <f t="shared" si="113"/>
        <v>0</v>
      </c>
    </row>
    <row r="98" spans="2:27" hidden="1" x14ac:dyDescent="0.35">
      <c r="B98" s="69" t="str">
        <f t="shared" si="97"/>
        <v>Studies</v>
      </c>
      <c r="C98" s="85">
        <f>C18</f>
        <v>1875000</v>
      </c>
      <c r="D98" s="85">
        <f>'Project Cash Flows'!D$16</f>
        <v>0</v>
      </c>
      <c r="E98" s="85">
        <f>'Project Cash Flows'!E$16</f>
        <v>0</v>
      </c>
      <c r="F98" s="85">
        <f>'Project Cash Flows'!F$16</f>
        <v>0</v>
      </c>
      <c r="G98" s="85">
        <f>'Project Cash Flows'!G$16</f>
        <v>0</v>
      </c>
      <c r="H98" s="85">
        <f>'Project Cash Flows'!H$16</f>
        <v>0</v>
      </c>
      <c r="I98" s="85">
        <f>'Project Cash Flows'!I$16</f>
        <v>0</v>
      </c>
      <c r="J98" s="85">
        <f>'Project Cash Flows'!J$16</f>
        <v>0</v>
      </c>
      <c r="K98" s="85">
        <f>'Project Cash Flows'!K$16</f>
        <v>0</v>
      </c>
      <c r="L98" s="85">
        <f>'Project Cash Flows'!L$16</f>
        <v>0</v>
      </c>
      <c r="M98" s="85">
        <f>'Project Cash Flows'!M$16</f>
        <v>0</v>
      </c>
      <c r="N98" s="85">
        <f>'Project Cash Flows'!N$16</f>
        <v>0</v>
      </c>
      <c r="O98" s="85">
        <f>'Project Cash Flows'!O$16</f>
        <v>0</v>
      </c>
      <c r="P98" s="85">
        <f>'Project Cash Flows'!P$16</f>
        <v>0</v>
      </c>
      <c r="Q98" s="85">
        <f>'Project Cash Flows'!Q$16</f>
        <v>0</v>
      </c>
      <c r="R98" s="85">
        <f>'Project Cash Flows'!R$16</f>
        <v>0</v>
      </c>
      <c r="S98" s="85">
        <f>'Project Cash Flows'!S$16</f>
        <v>0</v>
      </c>
      <c r="T98" s="85">
        <f>'Project Cash Flows'!T$16</f>
        <v>0</v>
      </c>
      <c r="U98" s="85">
        <f>'Project Cash Flows'!U$16</f>
        <v>0</v>
      </c>
      <c r="V98" s="85">
        <f>'Project Cash Flows'!V$16</f>
        <v>0</v>
      </c>
      <c r="W98" s="85">
        <f>'Project Cash Flows'!W$16</f>
        <v>0</v>
      </c>
      <c r="X98" s="85">
        <f>'Project Cash Flows'!X$16</f>
        <v>0</v>
      </c>
      <c r="Y98" s="85">
        <f>'Project Cash Flows'!Y$16</f>
        <v>0</v>
      </c>
      <c r="Z98" s="85">
        <f>'Project Cash Flows'!Z$16</f>
        <v>0</v>
      </c>
      <c r="AA98" s="85">
        <f>'Project Cash Flows'!AA$16</f>
        <v>0</v>
      </c>
    </row>
    <row r="99" spans="2:27" hidden="1" collapsed="1" x14ac:dyDescent="0.35">
      <c r="B99" s="69" t="str">
        <f t="shared" si="97"/>
        <v>Infrastructure</v>
      </c>
      <c r="C99" s="85">
        <f t="shared" ref="C99:E99" si="114">+SUM(C100:C111)</f>
        <v>0</v>
      </c>
      <c r="D99" s="85">
        <f t="shared" si="114"/>
        <v>2471524.9999999995</v>
      </c>
      <c r="E99" s="85">
        <f t="shared" si="114"/>
        <v>4422240.8124999991</v>
      </c>
      <c r="F99" s="85">
        <f t="shared" ref="F99" si="115">+SUM(F100:F111)</f>
        <v>5668204.1995249977</v>
      </c>
      <c r="G99" s="85">
        <f t="shared" ref="G99" si="116">+SUM(G100:G111)</f>
        <v>3930972.1824498107</v>
      </c>
      <c r="H99" s="85">
        <f t="shared" ref="H99" si="117">+SUM(H100:H111)</f>
        <v>0</v>
      </c>
      <c r="I99" s="85">
        <f t="shared" ref="I99" si="118">+SUM(I100:I111)</f>
        <v>0</v>
      </c>
      <c r="J99" s="85">
        <f t="shared" ref="J99" si="119">+SUM(J100:J111)</f>
        <v>0</v>
      </c>
      <c r="K99" s="85">
        <f t="shared" ref="K99" si="120">+SUM(K100:K111)</f>
        <v>0</v>
      </c>
      <c r="L99" s="85">
        <f t="shared" ref="L99" si="121">+SUM(L100:L111)</f>
        <v>0</v>
      </c>
      <c r="M99" s="85">
        <f t="shared" ref="M99" si="122">+SUM(M100:M111)</f>
        <v>0</v>
      </c>
      <c r="N99" s="85">
        <f t="shared" ref="N99" si="123">+SUM(N100:N111)</f>
        <v>0</v>
      </c>
      <c r="O99" s="85">
        <f t="shared" ref="O99" si="124">+SUM(O100:O111)</f>
        <v>0</v>
      </c>
      <c r="P99" s="85">
        <f t="shared" ref="P99" si="125">+SUM(P100:P111)</f>
        <v>0</v>
      </c>
      <c r="Q99" s="85">
        <f t="shared" ref="Q99" si="126">+SUM(Q100:Q111)</f>
        <v>0</v>
      </c>
      <c r="R99" s="85">
        <f t="shared" ref="R99" si="127">+SUM(R100:R111)</f>
        <v>0</v>
      </c>
      <c r="S99" s="85">
        <f t="shared" ref="S99" si="128">+SUM(S100:S111)</f>
        <v>0</v>
      </c>
      <c r="T99" s="85">
        <f t="shared" ref="T99" si="129">+SUM(T100:T111)</f>
        <v>0</v>
      </c>
      <c r="U99" s="85">
        <f t="shared" ref="U99" si="130">+SUM(U100:U111)</f>
        <v>0</v>
      </c>
      <c r="V99" s="85">
        <f t="shared" ref="V99" si="131">+SUM(V100:V111)</f>
        <v>0</v>
      </c>
      <c r="W99" s="85">
        <f t="shared" ref="W99" si="132">+SUM(W100:W111)</f>
        <v>0</v>
      </c>
      <c r="X99" s="85">
        <f t="shared" ref="X99" si="133">+SUM(X100:X111)</f>
        <v>0</v>
      </c>
      <c r="Y99" s="85">
        <f t="shared" ref="Y99" si="134">+SUM(Y100:Y111)</f>
        <v>0</v>
      </c>
      <c r="Z99" s="85">
        <f t="shared" ref="Z99" si="135">+SUM(Z100:Z111)</f>
        <v>0</v>
      </c>
      <c r="AA99" s="85">
        <f t="shared" ref="AA99" si="136">+SUM(AA100:AA111)</f>
        <v>0</v>
      </c>
    </row>
    <row r="100" spans="2:27" hidden="1" outlineLevel="1" x14ac:dyDescent="0.35">
      <c r="B100" s="126" t="str">
        <f t="shared" si="97"/>
        <v>Land adquisition</v>
      </c>
      <c r="C100" s="85">
        <f t="shared" ref="C100:AA100" si="137">C20</f>
        <v>0</v>
      </c>
      <c r="D100" s="85">
        <f t="shared" si="137"/>
        <v>2029999.9999999998</v>
      </c>
      <c r="E100" s="85">
        <f t="shared" si="137"/>
        <v>0</v>
      </c>
      <c r="F100" s="85">
        <f t="shared" si="137"/>
        <v>0</v>
      </c>
      <c r="G100" s="85">
        <f t="shared" si="137"/>
        <v>0</v>
      </c>
      <c r="H100" s="85">
        <f t="shared" si="137"/>
        <v>0</v>
      </c>
      <c r="I100" s="85">
        <f t="shared" si="137"/>
        <v>0</v>
      </c>
      <c r="J100" s="85">
        <f t="shared" si="137"/>
        <v>0</v>
      </c>
      <c r="K100" s="85">
        <f t="shared" si="137"/>
        <v>0</v>
      </c>
      <c r="L100" s="85">
        <f t="shared" si="137"/>
        <v>0</v>
      </c>
      <c r="M100" s="85">
        <f t="shared" si="137"/>
        <v>0</v>
      </c>
      <c r="N100" s="85">
        <f t="shared" si="137"/>
        <v>0</v>
      </c>
      <c r="O100" s="85">
        <f t="shared" si="137"/>
        <v>0</v>
      </c>
      <c r="P100" s="85">
        <f t="shared" si="137"/>
        <v>0</v>
      </c>
      <c r="Q100" s="85">
        <f t="shared" si="137"/>
        <v>0</v>
      </c>
      <c r="R100" s="85">
        <f t="shared" si="137"/>
        <v>0</v>
      </c>
      <c r="S100" s="85">
        <f t="shared" si="137"/>
        <v>0</v>
      </c>
      <c r="T100" s="85">
        <f t="shared" si="137"/>
        <v>0</v>
      </c>
      <c r="U100" s="85">
        <f t="shared" si="137"/>
        <v>0</v>
      </c>
      <c r="V100" s="85">
        <f t="shared" si="137"/>
        <v>0</v>
      </c>
      <c r="W100" s="85">
        <f t="shared" si="137"/>
        <v>0</v>
      </c>
      <c r="X100" s="85">
        <f t="shared" si="137"/>
        <v>0</v>
      </c>
      <c r="Y100" s="85">
        <f t="shared" si="137"/>
        <v>0</v>
      </c>
      <c r="Z100" s="85">
        <f t="shared" si="137"/>
        <v>0</v>
      </c>
      <c r="AA100" s="85">
        <f t="shared" si="137"/>
        <v>0</v>
      </c>
    </row>
    <row r="101" spans="2:27" hidden="1" outlineLevel="1" x14ac:dyDescent="0.35">
      <c r="B101" s="126" t="str">
        <f t="shared" si="97"/>
        <v>Land clearing</v>
      </c>
      <c r="C101" s="85">
        <f t="shared" ref="C101:AA101" si="138">C21</f>
        <v>0</v>
      </c>
      <c r="D101" s="85">
        <f t="shared" si="138"/>
        <v>30449.999999999996</v>
      </c>
      <c r="E101" s="85">
        <f t="shared" si="138"/>
        <v>30906.749999999993</v>
      </c>
      <c r="F101" s="85">
        <f t="shared" si="138"/>
        <v>0</v>
      </c>
      <c r="G101" s="85">
        <f t="shared" si="138"/>
        <v>0</v>
      </c>
      <c r="H101" s="85">
        <f t="shared" si="138"/>
        <v>0</v>
      </c>
      <c r="I101" s="85">
        <f t="shared" si="138"/>
        <v>0</v>
      </c>
      <c r="J101" s="85">
        <f t="shared" si="138"/>
        <v>0</v>
      </c>
      <c r="K101" s="85">
        <f t="shared" si="138"/>
        <v>0</v>
      </c>
      <c r="L101" s="85">
        <f t="shared" si="138"/>
        <v>0</v>
      </c>
      <c r="M101" s="85">
        <f t="shared" si="138"/>
        <v>0</v>
      </c>
      <c r="N101" s="85">
        <f t="shared" si="138"/>
        <v>0</v>
      </c>
      <c r="O101" s="85">
        <f t="shared" si="138"/>
        <v>0</v>
      </c>
      <c r="P101" s="85">
        <f t="shared" si="138"/>
        <v>0</v>
      </c>
      <c r="Q101" s="85">
        <f t="shared" si="138"/>
        <v>0</v>
      </c>
      <c r="R101" s="85">
        <f t="shared" si="138"/>
        <v>0</v>
      </c>
      <c r="S101" s="85">
        <f t="shared" si="138"/>
        <v>0</v>
      </c>
      <c r="T101" s="85">
        <f t="shared" si="138"/>
        <v>0</v>
      </c>
      <c r="U101" s="85">
        <f t="shared" si="138"/>
        <v>0</v>
      </c>
      <c r="V101" s="85">
        <f t="shared" si="138"/>
        <v>0</v>
      </c>
      <c r="W101" s="85">
        <f t="shared" si="138"/>
        <v>0</v>
      </c>
      <c r="X101" s="85">
        <f t="shared" si="138"/>
        <v>0</v>
      </c>
      <c r="Y101" s="85">
        <f t="shared" si="138"/>
        <v>0</v>
      </c>
      <c r="Z101" s="85">
        <f t="shared" si="138"/>
        <v>0</v>
      </c>
      <c r="AA101" s="85">
        <f t="shared" si="138"/>
        <v>0</v>
      </c>
    </row>
    <row r="102" spans="2:27" hidden="1" outlineLevel="1" x14ac:dyDescent="0.35">
      <c r="B102" s="126" t="str">
        <f t="shared" si="97"/>
        <v>Earth movement for dam</v>
      </c>
      <c r="C102" s="85">
        <f>'Sensitivity 2'!$F$8*'Project Assumptions'!$D$17*'Project Assumptions'!G17</f>
        <v>0</v>
      </c>
      <c r="D102" s="85">
        <f>'Sensitivity 2'!$F$8*'Project Assumptions'!$D$17*'Project Assumptions'!H17*(1+'Sensitivity 2'!$D$5)^D83</f>
        <v>411074.99999999994</v>
      </c>
      <c r="E102" s="85">
        <f>'Sensitivity 2'!$F$8*'Project Assumptions'!$D$17*'Project Assumptions'!I17*(1+'Sensitivity 2'!$D$5)^E83</f>
        <v>1808044.8749999995</v>
      </c>
      <c r="F102" s="85">
        <f>'Sensitivity 2'!$F$8*'Project Assumptions'!$D$17*'Project Assumptions'!J17*(1+'Sensitivity 2'!$D$5)^F83</f>
        <v>564666.32249999978</v>
      </c>
      <c r="G102" s="85">
        <f>'Sensitivity 2'!$F$8*'Project Assumptions'!$D$17*'Project Assumptions'!K17*(1+'Sensitivity 2'!$D$5)^G83</f>
        <v>0</v>
      </c>
      <c r="H102" s="85">
        <f>'Sensitivity 2'!$F$8*'Project Assumptions'!$D$17*'Project Assumptions'!L17*(1+'Sensitivity 2'!$D$5)^H83</f>
        <v>0</v>
      </c>
      <c r="I102" s="85">
        <f>'Sensitivity 2'!$F$8*'Project Assumptions'!$D$17*'Project Assumptions'!M17*(1+'Sensitivity 2'!$D$5)^I83</f>
        <v>0</v>
      </c>
      <c r="J102" s="85">
        <f>'Sensitivity 2'!$F$8*'Project Assumptions'!$D$17*'Project Assumptions'!N17*(1+'Sensitivity 2'!$D$5)^J83</f>
        <v>0</v>
      </c>
      <c r="K102" s="85">
        <f>'Sensitivity 2'!$F$8*'Project Assumptions'!$D$17*'Project Assumptions'!O17*(1+'Sensitivity 2'!$D$5)^K83</f>
        <v>0</v>
      </c>
      <c r="L102" s="85">
        <f>'Sensitivity 2'!$F$8*'Project Assumptions'!$D$17*'Project Assumptions'!P17*(1+'Sensitivity 2'!$D$5)^L83</f>
        <v>0</v>
      </c>
      <c r="M102" s="85">
        <f>'Sensitivity 2'!$F$8*'Project Assumptions'!$D$17*'Project Assumptions'!Q17*(1+'Sensitivity 2'!$D$5)^M83</f>
        <v>0</v>
      </c>
      <c r="N102" s="85">
        <f>'Sensitivity 2'!$F$8*'Project Assumptions'!$D$17*'Project Assumptions'!R17*(1+'Sensitivity 2'!$D$5)^N83</f>
        <v>0</v>
      </c>
      <c r="O102" s="85">
        <f>'Sensitivity 2'!$F$8*'Project Assumptions'!$D$17*'Project Assumptions'!S17*(1+'Sensitivity 2'!$D$5)^O83</f>
        <v>0</v>
      </c>
      <c r="P102" s="85">
        <f>'Sensitivity 2'!$F$8*'Project Assumptions'!$D$17*'Project Assumptions'!T17*(1+'Sensitivity 2'!$D$5)^P83</f>
        <v>0</v>
      </c>
      <c r="Q102" s="85">
        <f>'Sensitivity 2'!$F$8*'Project Assumptions'!$D$17*'Project Assumptions'!U17*(1+'Sensitivity 2'!$D$5)^Q83</f>
        <v>0</v>
      </c>
      <c r="R102" s="85">
        <f>'Sensitivity 2'!$F$8*'Project Assumptions'!$D$17*'Project Assumptions'!V17*(1+'Sensitivity 2'!$D$5)^R83</f>
        <v>0</v>
      </c>
      <c r="S102" s="85">
        <f>'Sensitivity 2'!$F$8*'Project Assumptions'!$D$17*'Project Assumptions'!W17*(1+'Sensitivity 2'!$D$5)^S83</f>
        <v>0</v>
      </c>
      <c r="T102" s="85">
        <f>'Sensitivity 2'!$F$8*'Project Assumptions'!$D$17*'Project Assumptions'!X17*(1+'Sensitivity 2'!$D$5)^T83</f>
        <v>0</v>
      </c>
      <c r="U102" s="85">
        <f>'Sensitivity 2'!$F$8*'Project Assumptions'!$D$17*'Project Assumptions'!Y17*(1+'Sensitivity 2'!$D$5)^U83</f>
        <v>0</v>
      </c>
      <c r="V102" s="85">
        <f>'Sensitivity 2'!$F$8*'Project Assumptions'!$D$17*'Project Assumptions'!Z17*(1+'Sensitivity 2'!$D$5)^V83</f>
        <v>0</v>
      </c>
      <c r="W102" s="85">
        <f>'Sensitivity 2'!$F$8*'Project Assumptions'!$D$17*'Project Assumptions'!AA17*(1+'Sensitivity 2'!$D$5)^W83</f>
        <v>0</v>
      </c>
      <c r="X102" s="85">
        <f>'Sensitivity 2'!$F$8*'Project Assumptions'!$D$17*'Project Assumptions'!AB17*(1+'Sensitivity 2'!$D$5)^X83</f>
        <v>0</v>
      </c>
      <c r="Y102" s="85">
        <f>'Sensitivity 2'!$F$8*'Project Assumptions'!$D$17*'Project Assumptions'!AC17*(1+'Sensitivity 2'!$D$5)^Y83</f>
        <v>0</v>
      </c>
      <c r="Z102" s="85">
        <f>'Sensitivity 2'!$F$8*'Project Assumptions'!$D$17*'Project Assumptions'!AD17*(1+'Sensitivity 2'!$D$5)^Z83</f>
        <v>0</v>
      </c>
      <c r="AA102" s="85">
        <f>'Sensitivity 2'!$F$8*'Project Assumptions'!$D$17*'Project Assumptions'!AE17*(1+'Sensitivity 2'!$D$5)^AA83</f>
        <v>0</v>
      </c>
    </row>
    <row r="103" spans="2:27" hidden="1" outlineLevel="1" x14ac:dyDescent="0.35">
      <c r="B103" s="126" t="str">
        <f t="shared" si="97"/>
        <v>Dam structure (concrete)</v>
      </c>
      <c r="C103" s="85">
        <f>'Sensitivity 2'!$D$10*'Project Assumptions'!$D$18*'Project Assumptions'!G18</f>
        <v>0</v>
      </c>
      <c r="D103" s="85">
        <f>'Sensitivity 2'!$D$10*'Project Assumptions'!$D$18*'Project Assumptions'!H18*(1+'Sensitivity 2'!$D$5)^D83</f>
        <v>0</v>
      </c>
      <c r="E103" s="85">
        <f>'Sensitivity 2'!$D$10*'Project Assumptions'!$D$18*'Project Assumptions'!I18*(1+'Sensitivity 2'!$D$5)^E83</f>
        <v>2511173.4374999995</v>
      </c>
      <c r="F103" s="85">
        <f>'Sensitivity 2'!$D$10*'Project Assumptions'!$D$18*'Project Assumptions'!J18*(1+'Sensitivity 2'!$D$5)^F83</f>
        <v>4587913.870312498</v>
      </c>
      <c r="G103" s="85">
        <f>'Sensitivity 2'!$D$10*'Project Assumptions'!$D$18*'Project Assumptions'!K18*(1+'Sensitivity 2'!$D$5)^G83</f>
        <v>3104488.3855781234</v>
      </c>
      <c r="H103" s="85">
        <f>'Sensitivity 2'!$D$10*'Project Assumptions'!$D$18*'Project Assumptions'!L18*(1+'Sensitivity 2'!$D$5)^H83</f>
        <v>0</v>
      </c>
      <c r="I103" s="85">
        <f>'Sensitivity 2'!$D$10*'Project Assumptions'!$D$18*'Project Assumptions'!M18*(1+'Sensitivity 2'!$D$5)^I83</f>
        <v>0</v>
      </c>
      <c r="J103" s="85">
        <f>'Sensitivity 2'!$D$10*'Project Assumptions'!$D$18*'Project Assumptions'!N18*(1+'Sensitivity 2'!$D$5)^J83</f>
        <v>0</v>
      </c>
      <c r="K103" s="85">
        <f>'Sensitivity 2'!$D$10*'Project Assumptions'!$D$18*'Project Assumptions'!O18*(1+'Sensitivity 2'!$D$5)^K83</f>
        <v>0</v>
      </c>
      <c r="L103" s="85">
        <f>'Sensitivity 2'!$D$10*'Project Assumptions'!$D$18*'Project Assumptions'!P18*(1+'Sensitivity 2'!$D$5)^L83</f>
        <v>0</v>
      </c>
      <c r="M103" s="85">
        <f>'Sensitivity 2'!$D$10*'Project Assumptions'!$D$18*'Project Assumptions'!Q18*(1+'Sensitivity 2'!$D$5)^M83</f>
        <v>0</v>
      </c>
      <c r="N103" s="85">
        <f>'Sensitivity 2'!$D$10*'Project Assumptions'!$D$18*'Project Assumptions'!R18*(1+'Sensitivity 2'!$D$5)^N83</f>
        <v>0</v>
      </c>
      <c r="O103" s="85">
        <f>'Sensitivity 2'!$D$10*'Project Assumptions'!$D$18*'Project Assumptions'!S18*(1+'Sensitivity 2'!$D$5)^O83</f>
        <v>0</v>
      </c>
      <c r="P103" s="85">
        <f>'Sensitivity 2'!$D$10*'Project Assumptions'!$D$18*'Project Assumptions'!T18*(1+'Sensitivity 2'!$D$5)^P83</f>
        <v>0</v>
      </c>
      <c r="Q103" s="85">
        <f>'Sensitivity 2'!$D$10*'Project Assumptions'!$D$18*'Project Assumptions'!U18*(1+'Sensitivity 2'!$D$5)^Q83</f>
        <v>0</v>
      </c>
      <c r="R103" s="85">
        <f>'Sensitivity 2'!$D$10*'Project Assumptions'!$D$18*'Project Assumptions'!V18*(1+'Sensitivity 2'!$D$5)^R83</f>
        <v>0</v>
      </c>
      <c r="S103" s="85">
        <f>'Sensitivity 2'!$D$10*'Project Assumptions'!$D$18*'Project Assumptions'!W18*(1+'Sensitivity 2'!$D$5)^S83</f>
        <v>0</v>
      </c>
      <c r="T103" s="85">
        <f>'Sensitivity 2'!$D$10*'Project Assumptions'!$D$18*'Project Assumptions'!X18*(1+'Sensitivity 2'!$D$5)^T83</f>
        <v>0</v>
      </c>
      <c r="U103" s="85">
        <f>'Sensitivity 2'!$D$10*'Project Assumptions'!$D$18*'Project Assumptions'!Y18*(1+'Sensitivity 2'!$D$5)^U83</f>
        <v>0</v>
      </c>
      <c r="V103" s="85">
        <f>'Sensitivity 2'!$D$10*'Project Assumptions'!$D$18*'Project Assumptions'!Z18*(1+'Sensitivity 2'!$D$5)^V83</f>
        <v>0</v>
      </c>
      <c r="W103" s="85">
        <f>'Sensitivity 2'!$D$10*'Project Assumptions'!$D$18*'Project Assumptions'!AA18*(1+'Sensitivity 2'!$D$5)^W83</f>
        <v>0</v>
      </c>
      <c r="X103" s="85">
        <f>'Sensitivity 2'!$D$10*'Project Assumptions'!$D$18*'Project Assumptions'!AB18*(1+'Sensitivity 2'!$D$5)^X83</f>
        <v>0</v>
      </c>
      <c r="Y103" s="85">
        <f>'Sensitivity 2'!$D$10*'Project Assumptions'!$D$18*'Project Assumptions'!AC18*(1+'Sensitivity 2'!$D$5)^Y83</f>
        <v>0</v>
      </c>
      <c r="Z103" s="85">
        <f>'Sensitivity 2'!$D$10*'Project Assumptions'!$D$18*'Project Assumptions'!AD18*(1+'Sensitivity 2'!$D$5)^Z83</f>
        <v>0</v>
      </c>
      <c r="AA103" s="85">
        <f>'Sensitivity 2'!$D$10*'Project Assumptions'!$D$18*'Project Assumptions'!AE18*(1+'Sensitivity 2'!$D$5)^AA83</f>
        <v>0</v>
      </c>
    </row>
    <row r="104" spans="2:27" hidden="1" outlineLevel="1" x14ac:dyDescent="0.35">
      <c r="B104" s="126" t="str">
        <f t="shared" si="97"/>
        <v>Excavation for pipes</v>
      </c>
      <c r="C104" s="85">
        <f t="shared" ref="C104:AA104" si="139">C24</f>
        <v>0</v>
      </c>
      <c r="D104" s="85">
        <f t="shared" si="139"/>
        <v>0</v>
      </c>
      <c r="E104" s="85">
        <f t="shared" si="139"/>
        <v>72115.749999999985</v>
      </c>
      <c r="F104" s="85">
        <f t="shared" si="139"/>
        <v>131755.47524999996</v>
      </c>
      <c r="G104" s="85">
        <f t="shared" si="139"/>
        <v>89154.538252499959</v>
      </c>
      <c r="H104" s="85">
        <f t="shared" si="139"/>
        <v>0</v>
      </c>
      <c r="I104" s="85">
        <f t="shared" si="139"/>
        <v>0</v>
      </c>
      <c r="J104" s="85">
        <f t="shared" si="139"/>
        <v>0</v>
      </c>
      <c r="K104" s="85">
        <f t="shared" si="139"/>
        <v>0</v>
      </c>
      <c r="L104" s="85">
        <f t="shared" si="139"/>
        <v>0</v>
      </c>
      <c r="M104" s="85">
        <f t="shared" si="139"/>
        <v>0</v>
      </c>
      <c r="N104" s="85">
        <f t="shared" si="139"/>
        <v>0</v>
      </c>
      <c r="O104" s="85">
        <f t="shared" si="139"/>
        <v>0</v>
      </c>
      <c r="P104" s="85">
        <f t="shared" si="139"/>
        <v>0</v>
      </c>
      <c r="Q104" s="85">
        <f t="shared" si="139"/>
        <v>0</v>
      </c>
      <c r="R104" s="85">
        <f t="shared" si="139"/>
        <v>0</v>
      </c>
      <c r="S104" s="85">
        <f t="shared" si="139"/>
        <v>0</v>
      </c>
      <c r="T104" s="85">
        <f t="shared" si="139"/>
        <v>0</v>
      </c>
      <c r="U104" s="85">
        <f t="shared" si="139"/>
        <v>0</v>
      </c>
      <c r="V104" s="85">
        <f t="shared" si="139"/>
        <v>0</v>
      </c>
      <c r="W104" s="85">
        <f t="shared" si="139"/>
        <v>0</v>
      </c>
      <c r="X104" s="85">
        <f t="shared" si="139"/>
        <v>0</v>
      </c>
      <c r="Y104" s="85">
        <f t="shared" si="139"/>
        <v>0</v>
      </c>
      <c r="Z104" s="85">
        <f t="shared" si="139"/>
        <v>0</v>
      </c>
      <c r="AA104" s="85">
        <f t="shared" si="139"/>
        <v>0</v>
      </c>
    </row>
    <row r="105" spans="2:27" hidden="1" outlineLevel="1" x14ac:dyDescent="0.35">
      <c r="B105" s="126" t="str">
        <f t="shared" si="97"/>
        <v>Main pipes</v>
      </c>
      <c r="C105" s="85">
        <f t="shared" ref="C105:AA105" si="140">C25</f>
        <v>0</v>
      </c>
      <c r="D105" s="85">
        <f t="shared" si="140"/>
        <v>0</v>
      </c>
      <c r="E105" s="85">
        <f t="shared" si="140"/>
        <v>0</v>
      </c>
      <c r="F105" s="85">
        <f t="shared" si="140"/>
        <v>210808.76039999991</v>
      </c>
      <c r="G105" s="85">
        <f t="shared" si="140"/>
        <v>499265.4142139997</v>
      </c>
      <c r="H105" s="85">
        <f t="shared" si="140"/>
        <v>0</v>
      </c>
      <c r="I105" s="85">
        <f t="shared" si="140"/>
        <v>0</v>
      </c>
      <c r="J105" s="85">
        <f t="shared" si="140"/>
        <v>0</v>
      </c>
      <c r="K105" s="85">
        <f t="shared" si="140"/>
        <v>0</v>
      </c>
      <c r="L105" s="85">
        <f t="shared" si="140"/>
        <v>0</v>
      </c>
      <c r="M105" s="85">
        <f t="shared" si="140"/>
        <v>0</v>
      </c>
      <c r="N105" s="85">
        <f t="shared" si="140"/>
        <v>0</v>
      </c>
      <c r="O105" s="85">
        <f t="shared" si="140"/>
        <v>0</v>
      </c>
      <c r="P105" s="85">
        <f t="shared" si="140"/>
        <v>0</v>
      </c>
      <c r="Q105" s="85">
        <f t="shared" si="140"/>
        <v>0</v>
      </c>
      <c r="R105" s="85">
        <f t="shared" si="140"/>
        <v>0</v>
      </c>
      <c r="S105" s="85">
        <f t="shared" si="140"/>
        <v>0</v>
      </c>
      <c r="T105" s="85">
        <f t="shared" si="140"/>
        <v>0</v>
      </c>
      <c r="U105" s="85">
        <f t="shared" si="140"/>
        <v>0</v>
      </c>
      <c r="V105" s="85">
        <f t="shared" si="140"/>
        <v>0</v>
      </c>
      <c r="W105" s="85">
        <f t="shared" si="140"/>
        <v>0</v>
      </c>
      <c r="X105" s="85">
        <f t="shared" si="140"/>
        <v>0</v>
      </c>
      <c r="Y105" s="85">
        <f t="shared" si="140"/>
        <v>0</v>
      </c>
      <c r="Z105" s="85">
        <f t="shared" si="140"/>
        <v>0</v>
      </c>
      <c r="AA105" s="85">
        <f t="shared" si="140"/>
        <v>0</v>
      </c>
    </row>
    <row r="106" spans="2:27" hidden="1" outlineLevel="1" x14ac:dyDescent="0.35">
      <c r="B106" s="126" t="str">
        <f t="shared" si="97"/>
        <v>Floodgates</v>
      </c>
      <c r="C106" s="85">
        <f t="shared" ref="C106:AA106" si="141">C26</f>
        <v>0</v>
      </c>
      <c r="D106" s="85">
        <f t="shared" si="141"/>
        <v>0</v>
      </c>
      <c r="E106" s="85">
        <f t="shared" si="141"/>
        <v>0</v>
      </c>
      <c r="F106" s="85">
        <f t="shared" si="141"/>
        <v>46009.848499999986</v>
      </c>
      <c r="G106" s="85">
        <f t="shared" si="141"/>
        <v>70049.994341249956</v>
      </c>
      <c r="H106" s="85">
        <f t="shared" si="141"/>
        <v>0</v>
      </c>
      <c r="I106" s="85">
        <f t="shared" si="141"/>
        <v>0</v>
      </c>
      <c r="J106" s="85">
        <f t="shared" si="141"/>
        <v>0</v>
      </c>
      <c r="K106" s="85">
        <f t="shared" si="141"/>
        <v>0</v>
      </c>
      <c r="L106" s="85">
        <f t="shared" si="141"/>
        <v>0</v>
      </c>
      <c r="M106" s="85">
        <f t="shared" si="141"/>
        <v>0</v>
      </c>
      <c r="N106" s="85">
        <f t="shared" si="141"/>
        <v>0</v>
      </c>
      <c r="O106" s="85">
        <f t="shared" si="141"/>
        <v>0</v>
      </c>
      <c r="P106" s="85">
        <f t="shared" si="141"/>
        <v>0</v>
      </c>
      <c r="Q106" s="85">
        <f t="shared" si="141"/>
        <v>0</v>
      </c>
      <c r="R106" s="85">
        <f t="shared" si="141"/>
        <v>0</v>
      </c>
      <c r="S106" s="85">
        <f t="shared" si="141"/>
        <v>0</v>
      </c>
      <c r="T106" s="85">
        <f t="shared" si="141"/>
        <v>0</v>
      </c>
      <c r="U106" s="85">
        <f t="shared" si="141"/>
        <v>0</v>
      </c>
      <c r="V106" s="85">
        <f t="shared" si="141"/>
        <v>0</v>
      </c>
      <c r="W106" s="85">
        <f t="shared" si="141"/>
        <v>0</v>
      </c>
      <c r="X106" s="85">
        <f t="shared" si="141"/>
        <v>0</v>
      </c>
      <c r="Y106" s="85">
        <f t="shared" si="141"/>
        <v>0</v>
      </c>
      <c r="Z106" s="85">
        <f t="shared" si="141"/>
        <v>0</v>
      </c>
      <c r="AA106" s="85">
        <f t="shared" si="141"/>
        <v>0</v>
      </c>
    </row>
    <row r="107" spans="2:27" hidden="1" outlineLevel="1" x14ac:dyDescent="0.35">
      <c r="B107" s="126" t="str">
        <f t="shared" si="97"/>
        <v>Main Pumps</v>
      </c>
      <c r="C107" s="85">
        <f t="shared" ref="C107:AA107" si="142">C27</f>
        <v>0</v>
      </c>
      <c r="D107" s="85">
        <f t="shared" si="142"/>
        <v>0</v>
      </c>
      <c r="E107" s="85">
        <f t="shared" si="142"/>
        <v>0</v>
      </c>
      <c r="F107" s="85">
        <f t="shared" si="142"/>
        <v>13802.954549999995</v>
      </c>
      <c r="G107" s="85">
        <f t="shared" si="142"/>
        <v>32689.997359249977</v>
      </c>
      <c r="H107" s="85">
        <f t="shared" si="142"/>
        <v>0</v>
      </c>
      <c r="I107" s="85">
        <f t="shared" si="142"/>
        <v>0</v>
      </c>
      <c r="J107" s="85">
        <f t="shared" si="142"/>
        <v>0</v>
      </c>
      <c r="K107" s="85">
        <f t="shared" si="142"/>
        <v>0</v>
      </c>
      <c r="L107" s="85">
        <f t="shared" si="142"/>
        <v>0</v>
      </c>
      <c r="M107" s="85">
        <f t="shared" si="142"/>
        <v>0</v>
      </c>
      <c r="N107" s="85">
        <f t="shared" si="142"/>
        <v>0</v>
      </c>
      <c r="O107" s="85">
        <f t="shared" si="142"/>
        <v>0</v>
      </c>
      <c r="P107" s="85">
        <f t="shared" si="142"/>
        <v>0</v>
      </c>
      <c r="Q107" s="85">
        <f t="shared" si="142"/>
        <v>0</v>
      </c>
      <c r="R107" s="85">
        <f t="shared" si="142"/>
        <v>0</v>
      </c>
      <c r="S107" s="85">
        <f t="shared" si="142"/>
        <v>0</v>
      </c>
      <c r="T107" s="85">
        <f t="shared" si="142"/>
        <v>0</v>
      </c>
      <c r="U107" s="85">
        <f t="shared" si="142"/>
        <v>0</v>
      </c>
      <c r="V107" s="85">
        <f t="shared" si="142"/>
        <v>0</v>
      </c>
      <c r="W107" s="85">
        <f t="shared" si="142"/>
        <v>0</v>
      </c>
      <c r="X107" s="85">
        <f t="shared" si="142"/>
        <v>0</v>
      </c>
      <c r="Y107" s="85">
        <f t="shared" si="142"/>
        <v>0</v>
      </c>
      <c r="Z107" s="85">
        <f t="shared" si="142"/>
        <v>0</v>
      </c>
      <c r="AA107" s="85">
        <f t="shared" si="142"/>
        <v>0</v>
      </c>
    </row>
    <row r="108" spans="2:27" hidden="1" outlineLevel="1" x14ac:dyDescent="0.35">
      <c r="B108" s="126" t="str">
        <f t="shared" si="97"/>
        <v>Main pumps housing</v>
      </c>
      <c r="C108" s="85">
        <f t="shared" ref="C108:AA108" si="143">C28</f>
        <v>0</v>
      </c>
      <c r="D108" s="85">
        <f t="shared" si="143"/>
        <v>0</v>
      </c>
      <c r="E108" s="85">
        <f t="shared" si="143"/>
        <v>0</v>
      </c>
      <c r="F108" s="85">
        <f t="shared" si="143"/>
        <v>3764.4421499999985</v>
      </c>
      <c r="G108" s="85">
        <f t="shared" si="143"/>
        <v>8915.4538252499951</v>
      </c>
      <c r="H108" s="85">
        <f t="shared" si="143"/>
        <v>0</v>
      </c>
      <c r="I108" s="85">
        <f t="shared" si="143"/>
        <v>0</v>
      </c>
      <c r="J108" s="85">
        <f t="shared" si="143"/>
        <v>0</v>
      </c>
      <c r="K108" s="85">
        <f t="shared" si="143"/>
        <v>0</v>
      </c>
      <c r="L108" s="85">
        <f t="shared" si="143"/>
        <v>0</v>
      </c>
      <c r="M108" s="85">
        <f t="shared" si="143"/>
        <v>0</v>
      </c>
      <c r="N108" s="85">
        <f t="shared" si="143"/>
        <v>0</v>
      </c>
      <c r="O108" s="85">
        <f t="shared" si="143"/>
        <v>0</v>
      </c>
      <c r="P108" s="85">
        <f t="shared" si="143"/>
        <v>0</v>
      </c>
      <c r="Q108" s="85">
        <f t="shared" si="143"/>
        <v>0</v>
      </c>
      <c r="R108" s="85">
        <f t="shared" si="143"/>
        <v>0</v>
      </c>
      <c r="S108" s="85">
        <f t="shared" si="143"/>
        <v>0</v>
      </c>
      <c r="T108" s="85">
        <f t="shared" si="143"/>
        <v>0</v>
      </c>
      <c r="U108" s="85">
        <f t="shared" si="143"/>
        <v>0</v>
      </c>
      <c r="V108" s="85">
        <f t="shared" si="143"/>
        <v>0</v>
      </c>
      <c r="W108" s="85">
        <f t="shared" si="143"/>
        <v>0</v>
      </c>
      <c r="X108" s="85">
        <f t="shared" si="143"/>
        <v>0</v>
      </c>
      <c r="Y108" s="85">
        <f t="shared" si="143"/>
        <v>0</v>
      </c>
      <c r="Z108" s="85">
        <f t="shared" si="143"/>
        <v>0</v>
      </c>
      <c r="AA108" s="85">
        <f t="shared" si="143"/>
        <v>0</v>
      </c>
    </row>
    <row r="109" spans="2:27" hidden="1" outlineLevel="1" x14ac:dyDescent="0.35">
      <c r="B109" s="126" t="str">
        <f t="shared" si="97"/>
        <v>Flow meters and controls</v>
      </c>
      <c r="C109" s="85">
        <f t="shared" ref="C109:AA109" si="144">C29</f>
        <v>0</v>
      </c>
      <c r="D109" s="85">
        <f t="shared" si="144"/>
        <v>0</v>
      </c>
      <c r="E109" s="85">
        <f t="shared" si="144"/>
        <v>0</v>
      </c>
      <c r="F109" s="85">
        <f t="shared" si="144"/>
        <v>7528.884299999997</v>
      </c>
      <c r="G109" s="85">
        <f t="shared" si="144"/>
        <v>17830.90765049999</v>
      </c>
      <c r="H109" s="85">
        <f t="shared" si="144"/>
        <v>0</v>
      </c>
      <c r="I109" s="85">
        <f t="shared" si="144"/>
        <v>0</v>
      </c>
      <c r="J109" s="85">
        <f t="shared" si="144"/>
        <v>0</v>
      </c>
      <c r="K109" s="85">
        <f t="shared" si="144"/>
        <v>0</v>
      </c>
      <c r="L109" s="85">
        <f t="shared" si="144"/>
        <v>0</v>
      </c>
      <c r="M109" s="85">
        <f t="shared" si="144"/>
        <v>0</v>
      </c>
      <c r="N109" s="85">
        <f t="shared" si="144"/>
        <v>0</v>
      </c>
      <c r="O109" s="85">
        <f t="shared" si="144"/>
        <v>0</v>
      </c>
      <c r="P109" s="85">
        <f t="shared" si="144"/>
        <v>0</v>
      </c>
      <c r="Q109" s="85">
        <f t="shared" si="144"/>
        <v>0</v>
      </c>
      <c r="R109" s="85">
        <f t="shared" si="144"/>
        <v>0</v>
      </c>
      <c r="S109" s="85">
        <f t="shared" si="144"/>
        <v>0</v>
      </c>
      <c r="T109" s="85">
        <f t="shared" si="144"/>
        <v>0</v>
      </c>
      <c r="U109" s="85">
        <f t="shared" si="144"/>
        <v>0</v>
      </c>
      <c r="V109" s="85">
        <f t="shared" si="144"/>
        <v>0</v>
      </c>
      <c r="W109" s="85">
        <f t="shared" si="144"/>
        <v>0</v>
      </c>
      <c r="X109" s="85">
        <f t="shared" si="144"/>
        <v>0</v>
      </c>
      <c r="Y109" s="85">
        <f t="shared" si="144"/>
        <v>0</v>
      </c>
      <c r="Z109" s="85">
        <f t="shared" si="144"/>
        <v>0</v>
      </c>
      <c r="AA109" s="85">
        <f t="shared" si="144"/>
        <v>0</v>
      </c>
    </row>
    <row r="110" spans="2:27" hidden="1" outlineLevel="1" x14ac:dyDescent="0.35">
      <c r="B110" s="126" t="str">
        <f t="shared" si="97"/>
        <v>Electricity lines</v>
      </c>
      <c r="C110" s="85">
        <f t="shared" ref="C110:AA110" si="145">C30</f>
        <v>0</v>
      </c>
      <c r="D110" s="85">
        <f t="shared" si="145"/>
        <v>0</v>
      </c>
      <c r="E110" s="85">
        <f t="shared" si="145"/>
        <v>0</v>
      </c>
      <c r="F110" s="85">
        <f t="shared" si="145"/>
        <v>101953.64156249996</v>
      </c>
      <c r="G110" s="85">
        <f t="shared" si="145"/>
        <v>103482.94618593744</v>
      </c>
      <c r="H110" s="85">
        <f t="shared" si="145"/>
        <v>0</v>
      </c>
      <c r="I110" s="85">
        <f t="shared" si="145"/>
        <v>0</v>
      </c>
      <c r="J110" s="85">
        <f t="shared" si="145"/>
        <v>0</v>
      </c>
      <c r="K110" s="85">
        <f t="shared" si="145"/>
        <v>0</v>
      </c>
      <c r="L110" s="85">
        <f t="shared" si="145"/>
        <v>0</v>
      </c>
      <c r="M110" s="85">
        <f t="shared" si="145"/>
        <v>0</v>
      </c>
      <c r="N110" s="85">
        <f t="shared" si="145"/>
        <v>0</v>
      </c>
      <c r="O110" s="85">
        <f t="shared" si="145"/>
        <v>0</v>
      </c>
      <c r="P110" s="85">
        <f t="shared" si="145"/>
        <v>0</v>
      </c>
      <c r="Q110" s="85">
        <f t="shared" si="145"/>
        <v>0</v>
      </c>
      <c r="R110" s="85">
        <f t="shared" si="145"/>
        <v>0</v>
      </c>
      <c r="S110" s="85">
        <f t="shared" si="145"/>
        <v>0</v>
      </c>
      <c r="T110" s="85">
        <f t="shared" si="145"/>
        <v>0</v>
      </c>
      <c r="U110" s="85">
        <f t="shared" si="145"/>
        <v>0</v>
      </c>
      <c r="V110" s="85">
        <f t="shared" si="145"/>
        <v>0</v>
      </c>
      <c r="W110" s="85">
        <f t="shared" si="145"/>
        <v>0</v>
      </c>
      <c r="X110" s="85">
        <f t="shared" si="145"/>
        <v>0</v>
      </c>
      <c r="Y110" s="85">
        <f t="shared" si="145"/>
        <v>0</v>
      </c>
      <c r="Z110" s="85">
        <f t="shared" si="145"/>
        <v>0</v>
      </c>
      <c r="AA110" s="85">
        <f t="shared" si="145"/>
        <v>0</v>
      </c>
    </row>
    <row r="111" spans="2:27" hidden="1" outlineLevel="1" x14ac:dyDescent="0.35">
      <c r="B111" s="126" t="str">
        <f t="shared" si="97"/>
        <v>Electric transformer</v>
      </c>
      <c r="C111" s="85">
        <f t="shared" ref="C111:AA111" si="146">C31</f>
        <v>0</v>
      </c>
      <c r="D111" s="85">
        <f t="shared" si="146"/>
        <v>0</v>
      </c>
      <c r="E111" s="85">
        <f t="shared" si="146"/>
        <v>0</v>
      </c>
      <c r="F111" s="85">
        <f t="shared" si="146"/>
        <v>0</v>
      </c>
      <c r="G111" s="85">
        <f t="shared" si="146"/>
        <v>5094.5450429999973</v>
      </c>
      <c r="H111" s="85">
        <f t="shared" si="146"/>
        <v>0</v>
      </c>
      <c r="I111" s="85">
        <f t="shared" si="146"/>
        <v>0</v>
      </c>
      <c r="J111" s="85">
        <f t="shared" si="146"/>
        <v>0</v>
      </c>
      <c r="K111" s="85">
        <f t="shared" si="146"/>
        <v>0</v>
      </c>
      <c r="L111" s="85">
        <f t="shared" si="146"/>
        <v>0</v>
      </c>
      <c r="M111" s="85">
        <f t="shared" si="146"/>
        <v>0</v>
      </c>
      <c r="N111" s="85">
        <f t="shared" si="146"/>
        <v>0</v>
      </c>
      <c r="O111" s="85">
        <f t="shared" si="146"/>
        <v>0</v>
      </c>
      <c r="P111" s="85">
        <f t="shared" si="146"/>
        <v>0</v>
      </c>
      <c r="Q111" s="85">
        <f t="shared" si="146"/>
        <v>0</v>
      </c>
      <c r="R111" s="85">
        <f t="shared" si="146"/>
        <v>0</v>
      </c>
      <c r="S111" s="85">
        <f t="shared" si="146"/>
        <v>0</v>
      </c>
      <c r="T111" s="85">
        <f t="shared" si="146"/>
        <v>0</v>
      </c>
      <c r="U111" s="85">
        <f t="shared" si="146"/>
        <v>0</v>
      </c>
      <c r="V111" s="85">
        <f t="shared" si="146"/>
        <v>0</v>
      </c>
      <c r="W111" s="85">
        <f t="shared" si="146"/>
        <v>0</v>
      </c>
      <c r="X111" s="85">
        <f t="shared" si="146"/>
        <v>0</v>
      </c>
      <c r="Y111" s="85">
        <f t="shared" si="146"/>
        <v>0</v>
      </c>
      <c r="Z111" s="85">
        <f t="shared" si="146"/>
        <v>0</v>
      </c>
      <c r="AA111" s="85">
        <f t="shared" si="146"/>
        <v>0</v>
      </c>
    </row>
    <row r="112" spans="2:27" hidden="1" x14ac:dyDescent="0.35">
      <c r="B112" s="70" t="str">
        <f t="shared" si="97"/>
        <v>Net Lending / Borrowing</v>
      </c>
      <c r="C112" s="88">
        <f t="shared" ref="C112:AA112" si="147">C84-C86-C97</f>
        <v>-1875000</v>
      </c>
      <c r="D112" s="88">
        <f t="shared" si="147"/>
        <v>-2659024.9999999995</v>
      </c>
      <c r="E112" s="88">
        <f t="shared" si="147"/>
        <v>-4856893.3124999991</v>
      </c>
      <c r="F112" s="88">
        <f t="shared" si="147"/>
        <v>-7178176.2961349972</v>
      </c>
      <c r="G112" s="88">
        <f t="shared" si="147"/>
        <v>-7945036.9760139091</v>
      </c>
      <c r="H112" s="88">
        <f t="shared" si="147"/>
        <v>-2476378.2078251997</v>
      </c>
      <c r="I112" s="88">
        <f t="shared" si="147"/>
        <v>-2399703.8266784917</v>
      </c>
      <c r="J112" s="88">
        <f t="shared" si="147"/>
        <v>-2323256.9254791681</v>
      </c>
      <c r="K112" s="88">
        <f t="shared" si="147"/>
        <v>-2247040.9164264407</v>
      </c>
      <c r="L112" s="88">
        <f t="shared" si="147"/>
        <v>-2171059.2629025076</v>
      </c>
      <c r="M112" s="88">
        <f t="shared" si="147"/>
        <v>-2095315.4802403012</v>
      </c>
      <c r="N112" s="88">
        <f t="shared" si="147"/>
        <v>-2019813.1365027474</v>
      </c>
      <c r="O112" s="88">
        <f t="shared" si="147"/>
        <v>-1944555.8532737158</v>
      </c>
      <c r="P112" s="88">
        <f t="shared" si="147"/>
        <v>-2472334.3721905053</v>
      </c>
      <c r="Q112" s="88">
        <f t="shared" si="147"/>
        <v>-4733723.9939728081</v>
      </c>
      <c r="R112" s="88">
        <f t="shared" si="147"/>
        <v>-1720291.4022341846</v>
      </c>
      <c r="S112" s="88">
        <f t="shared" si="147"/>
        <v>-1646051.6756494672</v>
      </c>
      <c r="T112" s="88">
        <f t="shared" si="147"/>
        <v>-1572075.9488305645</v>
      </c>
      <c r="U112" s="88">
        <f t="shared" si="147"/>
        <v>-1498368.1817739638</v>
      </c>
      <c r="V112" s="88">
        <f t="shared" si="147"/>
        <v>-1424932.3938761</v>
      </c>
      <c r="W112" s="88">
        <f t="shared" si="147"/>
        <v>-1351772.6648243535</v>
      </c>
      <c r="X112" s="88">
        <f t="shared" si="147"/>
        <v>-1278893.1355014166</v>
      </c>
      <c r="Y112" s="88">
        <f t="shared" si="147"/>
        <v>-1206298.0089032212</v>
      </c>
      <c r="Z112" s="88">
        <f t="shared" si="147"/>
        <v>-1133991.5510706385</v>
      </c>
      <c r="AA112" s="88">
        <f t="shared" si="147"/>
        <v>-1061978.041062779</v>
      </c>
    </row>
    <row r="113" spans="1:27" hidden="1" x14ac:dyDescent="0.35"/>
    <row r="114" spans="1:27" hidden="1" x14ac:dyDescent="0.35">
      <c r="B114" s="3" t="s">
        <v>144</v>
      </c>
    </row>
    <row r="115" spans="1:27" hidden="1" x14ac:dyDescent="0.35">
      <c r="B115" t="s">
        <v>148</v>
      </c>
      <c r="C115" s="127">
        <f t="shared" ref="C115" si="148">+C116-C118</f>
        <v>1875000</v>
      </c>
      <c r="D115" s="127">
        <f t="shared" ref="D115" si="149">+C115+D116-D118</f>
        <v>4346525</v>
      </c>
      <c r="E115" s="127">
        <f t="shared" ref="E115" si="150">+D115+E116-E118</f>
        <v>8768765.8125</v>
      </c>
      <c r="F115" s="127">
        <f t="shared" ref="F115" si="151">+E115+F116-F118</f>
        <v>14436970.012024999</v>
      </c>
      <c r="G115" s="127">
        <f t="shared" ref="G115" si="152">+F115+G116-G118</f>
        <v>18367942.194474809</v>
      </c>
      <c r="H115" s="127">
        <f t="shared" ref="H115" si="153">+G115+H116-H118</f>
        <v>17449545.08475107</v>
      </c>
      <c r="I115" s="127">
        <f t="shared" ref="I115" si="154">+H115+I116-I118</f>
        <v>16531147.975027328</v>
      </c>
      <c r="J115" s="127">
        <f t="shared" ref="J115" si="155">+I115+J116-J118</f>
        <v>15612750.865303587</v>
      </c>
      <c r="K115" s="127">
        <f t="shared" ref="K115" si="156">+J115+K116-K118</f>
        <v>14694353.755579846</v>
      </c>
      <c r="L115" s="127">
        <f t="shared" ref="L115" si="157">+K115+L116-L118</f>
        <v>13775956.645856105</v>
      </c>
      <c r="M115" s="127">
        <f t="shared" ref="M115" si="158">+L115+M116-M118</f>
        <v>12857559.536132364</v>
      </c>
      <c r="N115" s="127">
        <f t="shared" ref="N115" si="159">+M115+N116-N118</f>
        <v>11939162.426408622</v>
      </c>
      <c r="O115" s="127">
        <f t="shared" ref="O115" si="160">+N115+O116-O118</f>
        <v>11020765.316684881</v>
      </c>
      <c r="P115" s="127">
        <f t="shared" ref="P115" si="161">+O115+P116-P118</f>
        <v>10102368.20696114</v>
      </c>
      <c r="Q115" s="127">
        <f t="shared" ref="Q115" si="162">+P115+Q116-Q118</f>
        <v>9183971.0972373988</v>
      </c>
      <c r="R115" s="127">
        <f t="shared" ref="R115" si="163">+Q115+R116-R118</f>
        <v>8265573.9875136586</v>
      </c>
      <c r="S115" s="127">
        <f t="shared" ref="S115" si="164">+R115+S116-S118</f>
        <v>7347176.8777899183</v>
      </c>
      <c r="T115" s="127">
        <f t="shared" ref="T115" si="165">+S115+T116-T118</f>
        <v>6428779.7680661781</v>
      </c>
      <c r="U115" s="127">
        <f t="shared" ref="U115" si="166">+T115+U116-U118</f>
        <v>5510382.6583424378</v>
      </c>
      <c r="V115" s="127">
        <f t="shared" ref="V115" si="167">+U115+V116-V118</f>
        <v>4591985.5486186976</v>
      </c>
      <c r="W115" s="127">
        <f t="shared" ref="W115" si="168">+V115+W116-W118</f>
        <v>3673588.4388949573</v>
      </c>
      <c r="X115" s="127">
        <f t="shared" ref="X115" si="169">+W115+X116-X118</f>
        <v>2755191.329171217</v>
      </c>
      <c r="Y115" s="127">
        <f t="shared" ref="Y115" si="170">+X115+Y116-Y118</f>
        <v>1836794.2194474766</v>
      </c>
      <c r="Z115" s="127">
        <f>ROUND(Y115+Z116-Z118,1)</f>
        <v>918397.1</v>
      </c>
      <c r="AA115" s="127">
        <f>ROUND(Z115+AA116-AA118,1)</f>
        <v>0</v>
      </c>
    </row>
    <row r="116" spans="1:27" hidden="1" x14ac:dyDescent="0.35">
      <c r="B116" t="s">
        <v>142</v>
      </c>
      <c r="C116" s="127">
        <f t="shared" ref="C116:AA116" si="171">+C97</f>
        <v>1875000</v>
      </c>
      <c r="D116" s="127">
        <f t="shared" si="171"/>
        <v>2471524.9999999995</v>
      </c>
      <c r="E116" s="127">
        <f t="shared" si="171"/>
        <v>4422240.8124999991</v>
      </c>
      <c r="F116" s="127">
        <f t="shared" si="171"/>
        <v>5668204.1995249977</v>
      </c>
      <c r="G116" s="127">
        <f t="shared" si="171"/>
        <v>3930972.1824498107</v>
      </c>
      <c r="H116" s="127">
        <f t="shared" si="171"/>
        <v>0</v>
      </c>
      <c r="I116" s="127">
        <f t="shared" si="171"/>
        <v>0</v>
      </c>
      <c r="J116" s="127">
        <f t="shared" si="171"/>
        <v>0</v>
      </c>
      <c r="K116" s="127">
        <f t="shared" si="171"/>
        <v>0</v>
      </c>
      <c r="L116" s="127">
        <f t="shared" si="171"/>
        <v>0</v>
      </c>
      <c r="M116" s="127">
        <f t="shared" si="171"/>
        <v>0</v>
      </c>
      <c r="N116" s="127">
        <f t="shared" si="171"/>
        <v>0</v>
      </c>
      <c r="O116" s="127">
        <f t="shared" si="171"/>
        <v>0</v>
      </c>
      <c r="P116" s="127">
        <f t="shared" si="171"/>
        <v>0</v>
      </c>
      <c r="Q116" s="127">
        <f t="shared" si="171"/>
        <v>0</v>
      </c>
      <c r="R116" s="127">
        <f t="shared" si="171"/>
        <v>0</v>
      </c>
      <c r="S116" s="127">
        <f t="shared" si="171"/>
        <v>0</v>
      </c>
      <c r="T116" s="127">
        <f t="shared" si="171"/>
        <v>0</v>
      </c>
      <c r="U116" s="127">
        <f t="shared" si="171"/>
        <v>0</v>
      </c>
      <c r="V116" s="127">
        <f t="shared" si="171"/>
        <v>0</v>
      </c>
      <c r="W116" s="127">
        <f t="shared" si="171"/>
        <v>0</v>
      </c>
      <c r="X116" s="127">
        <f t="shared" si="171"/>
        <v>0</v>
      </c>
      <c r="Y116" s="127">
        <f t="shared" si="171"/>
        <v>0</v>
      </c>
      <c r="Z116" s="127">
        <f t="shared" si="171"/>
        <v>0</v>
      </c>
      <c r="AA116" s="127">
        <f t="shared" si="171"/>
        <v>0</v>
      </c>
    </row>
    <row r="117" spans="1:27" hidden="1" x14ac:dyDescent="0.35">
      <c r="B117" t="s">
        <v>145</v>
      </c>
      <c r="C117" s="127">
        <v>0</v>
      </c>
      <c r="D117" s="127">
        <f>+C115*'Sensitivity 2'!$D$3</f>
        <v>187500</v>
      </c>
      <c r="E117" s="127">
        <f>+D115*'Sensitivity 2'!$D$3</f>
        <v>434652.5</v>
      </c>
      <c r="F117" s="127">
        <f>+E115*'Sensitivity 2'!$D$3</f>
        <v>876876.58125000005</v>
      </c>
      <c r="G117" s="127">
        <f>+F115*'Sensitivity 2'!$D$3</f>
        <v>1443697.0012025</v>
      </c>
      <c r="H117" s="127">
        <f>+G115*'Sensitivity 2'!$D$3</f>
        <v>1836794.219447481</v>
      </c>
      <c r="I117" s="127">
        <f>+H115*'Sensitivity 2'!$D$3</f>
        <v>1744954.5084751071</v>
      </c>
      <c r="J117" s="127">
        <f>+I115*'Sensitivity 2'!$D$3</f>
        <v>1653114.7975027328</v>
      </c>
      <c r="K117" s="127">
        <f>+J115*'Sensitivity 2'!$D$3</f>
        <v>1561275.0865303588</v>
      </c>
      <c r="L117" s="127">
        <f>+K115*'Sensitivity 2'!$D$3</f>
        <v>1469435.3755579847</v>
      </c>
      <c r="M117" s="127">
        <f>+L115*'Sensitivity 2'!$D$3</f>
        <v>1377595.6645856106</v>
      </c>
      <c r="N117" s="127">
        <f>+M115*'Sensitivity 2'!$D$3</f>
        <v>1285755.9536132365</v>
      </c>
      <c r="O117" s="127">
        <f>+N115*'Sensitivity 2'!$D$3</f>
        <v>1193916.2426408622</v>
      </c>
      <c r="P117" s="127">
        <f>+O115*'Sensitivity 2'!$D$3</f>
        <v>1102076.5316684882</v>
      </c>
      <c r="Q117" s="127">
        <f>+P115*'Sensitivity 2'!$D$3</f>
        <v>1010236.8206961141</v>
      </c>
      <c r="R117" s="127">
        <f>+Q115*'Sensitivity 2'!$D$3</f>
        <v>918397.10972373991</v>
      </c>
      <c r="S117" s="127">
        <f>+R115*'Sensitivity 2'!$D$3</f>
        <v>826557.39875136595</v>
      </c>
      <c r="T117" s="127">
        <f>+S115*'Sensitivity 2'!$D$3</f>
        <v>734717.68777899188</v>
      </c>
      <c r="U117" s="127">
        <f>+T115*'Sensitivity 2'!$D$3</f>
        <v>642877.97680661781</v>
      </c>
      <c r="V117" s="127">
        <f>+U115*'Sensitivity 2'!$D$3</f>
        <v>551038.26583424385</v>
      </c>
      <c r="W117" s="127">
        <f>+V115*'Sensitivity 2'!$D$3</f>
        <v>459198.55486186978</v>
      </c>
      <c r="X117" s="127">
        <f>+W115*'Sensitivity 2'!$D$3</f>
        <v>367358.84388949577</v>
      </c>
      <c r="Y117" s="127">
        <f>+X115*'Sensitivity 2'!$D$3</f>
        <v>275519.13291712169</v>
      </c>
      <c r="Z117" s="127">
        <f>+Y115*'Sensitivity 2'!$D$3</f>
        <v>183679.42194474768</v>
      </c>
      <c r="AA117" s="127">
        <f>+Z115*'Sensitivity 2'!$D$3</f>
        <v>91839.71</v>
      </c>
    </row>
    <row r="118" spans="1:27" hidden="1" x14ac:dyDescent="0.35">
      <c r="B118" t="s">
        <v>147</v>
      </c>
      <c r="C118" s="127">
        <v>0</v>
      </c>
      <c r="D118" s="127">
        <v>0</v>
      </c>
      <c r="E118" s="127">
        <v>0</v>
      </c>
      <c r="F118" s="127">
        <v>0</v>
      </c>
      <c r="G118" s="127">
        <v>0</v>
      </c>
      <c r="H118" s="127">
        <f t="shared" ref="H118" si="172">+G115/20</f>
        <v>918397.10972374049</v>
      </c>
      <c r="I118" s="127">
        <f t="shared" ref="I118" si="173">+H118</f>
        <v>918397.10972374049</v>
      </c>
      <c r="J118" s="127">
        <f t="shared" ref="J118" si="174">+I118</f>
        <v>918397.10972374049</v>
      </c>
      <c r="K118" s="127">
        <f t="shared" ref="K118" si="175">+J118</f>
        <v>918397.10972374049</v>
      </c>
      <c r="L118" s="127">
        <f t="shared" ref="L118" si="176">+K118</f>
        <v>918397.10972374049</v>
      </c>
      <c r="M118" s="127">
        <f t="shared" ref="M118" si="177">+L118</f>
        <v>918397.10972374049</v>
      </c>
      <c r="N118" s="127">
        <f t="shared" ref="N118" si="178">+M118</f>
        <v>918397.10972374049</v>
      </c>
      <c r="O118" s="127">
        <f t="shared" ref="O118" si="179">+N118</f>
        <v>918397.10972374049</v>
      </c>
      <c r="P118" s="127">
        <f t="shared" ref="P118" si="180">+O118</f>
        <v>918397.10972374049</v>
      </c>
      <c r="Q118" s="127">
        <f t="shared" ref="Q118" si="181">+P118</f>
        <v>918397.10972374049</v>
      </c>
      <c r="R118" s="127">
        <f t="shared" ref="R118" si="182">+Q118</f>
        <v>918397.10972374049</v>
      </c>
      <c r="S118" s="127">
        <f t="shared" ref="S118" si="183">+R118</f>
        <v>918397.10972374049</v>
      </c>
      <c r="T118" s="127">
        <f t="shared" ref="T118" si="184">+S118</f>
        <v>918397.10972374049</v>
      </c>
      <c r="U118" s="127">
        <f t="shared" ref="U118" si="185">+T118</f>
        <v>918397.10972374049</v>
      </c>
      <c r="V118" s="127">
        <f t="shared" ref="V118" si="186">+U118</f>
        <v>918397.10972374049</v>
      </c>
      <c r="W118" s="127">
        <f t="shared" ref="W118" si="187">+V118</f>
        <v>918397.10972374049</v>
      </c>
      <c r="X118" s="127">
        <f t="shared" ref="X118" si="188">+W118</f>
        <v>918397.10972374049</v>
      </c>
      <c r="Y118" s="127">
        <f t="shared" ref="Y118" si="189">+X118</f>
        <v>918397.10972374049</v>
      </c>
      <c r="Z118" s="127">
        <f t="shared" ref="Z118" si="190">+Y118</f>
        <v>918397.10972374049</v>
      </c>
      <c r="AA118" s="127">
        <f t="shared" ref="AA118" si="191">+Z118</f>
        <v>918397.10972374049</v>
      </c>
    </row>
    <row r="119" spans="1:27" hidden="1" x14ac:dyDescent="0.35">
      <c r="B119" t="s">
        <v>141</v>
      </c>
      <c r="C119" s="127">
        <f t="shared" ref="C119:AA119" si="192">+C117+C118</f>
        <v>0</v>
      </c>
      <c r="D119" s="127">
        <f t="shared" si="192"/>
        <v>187500</v>
      </c>
      <c r="E119" s="127">
        <f t="shared" si="192"/>
        <v>434652.5</v>
      </c>
      <c r="F119" s="127">
        <f t="shared" si="192"/>
        <v>876876.58125000005</v>
      </c>
      <c r="G119" s="127">
        <f t="shared" si="192"/>
        <v>1443697.0012025</v>
      </c>
      <c r="H119" s="127">
        <f t="shared" si="192"/>
        <v>2755191.3291712217</v>
      </c>
      <c r="I119" s="127">
        <f t="shared" si="192"/>
        <v>2663351.6181988474</v>
      </c>
      <c r="J119" s="127">
        <f t="shared" si="192"/>
        <v>2571511.9072264731</v>
      </c>
      <c r="K119" s="127">
        <f t="shared" si="192"/>
        <v>2479672.1962540993</v>
      </c>
      <c r="L119" s="127">
        <f t="shared" si="192"/>
        <v>2387832.4852817254</v>
      </c>
      <c r="M119" s="127">
        <f t="shared" si="192"/>
        <v>2295992.7743093511</v>
      </c>
      <c r="N119" s="127">
        <f t="shared" si="192"/>
        <v>2204153.0633369768</v>
      </c>
      <c r="O119" s="127">
        <f t="shared" si="192"/>
        <v>2112313.3523646025</v>
      </c>
      <c r="P119" s="127">
        <f t="shared" si="192"/>
        <v>2020473.6413922287</v>
      </c>
      <c r="Q119" s="127">
        <f t="shared" si="192"/>
        <v>1928633.9304198546</v>
      </c>
      <c r="R119" s="127">
        <f t="shared" si="192"/>
        <v>1836794.2194474805</v>
      </c>
      <c r="S119" s="127">
        <f t="shared" si="192"/>
        <v>1744954.5084751064</v>
      </c>
      <c r="T119" s="127">
        <f t="shared" si="192"/>
        <v>1653114.7975027324</v>
      </c>
      <c r="U119" s="127">
        <f t="shared" si="192"/>
        <v>1561275.0865303583</v>
      </c>
      <c r="V119" s="127">
        <f t="shared" si="192"/>
        <v>1469435.3755579842</v>
      </c>
      <c r="W119" s="127">
        <f t="shared" si="192"/>
        <v>1377595.6645856104</v>
      </c>
      <c r="X119" s="127">
        <f t="shared" si="192"/>
        <v>1285755.9536132363</v>
      </c>
      <c r="Y119" s="127">
        <f t="shared" si="192"/>
        <v>1193916.2426408622</v>
      </c>
      <c r="Z119" s="127">
        <f t="shared" si="192"/>
        <v>1102076.5316684882</v>
      </c>
      <c r="AA119" s="127">
        <f t="shared" si="192"/>
        <v>1010236.8197237405</v>
      </c>
    </row>
    <row r="120" spans="1:27" hidden="1" x14ac:dyDescent="0.35"/>
    <row r="121" spans="1:27" hidden="1" x14ac:dyDescent="0.35">
      <c r="A121" t="s">
        <v>196</v>
      </c>
      <c r="B121" s="128" t="s">
        <v>195</v>
      </c>
    </row>
    <row r="122" spans="1:27" hidden="1" x14ac:dyDescent="0.35">
      <c r="B122" s="38" t="s">
        <v>66</v>
      </c>
      <c r="C122" s="57">
        <v>0</v>
      </c>
      <c r="D122" s="57">
        <v>1</v>
      </c>
      <c r="E122" s="57">
        <v>2</v>
      </c>
      <c r="F122" s="57">
        <v>3</v>
      </c>
      <c r="G122" s="57">
        <v>4</v>
      </c>
      <c r="H122" s="57">
        <v>5</v>
      </c>
      <c r="I122" s="57">
        <v>6</v>
      </c>
      <c r="J122" s="57">
        <v>7</v>
      </c>
      <c r="K122" s="57">
        <v>8</v>
      </c>
      <c r="L122" s="57">
        <v>9</v>
      </c>
      <c r="M122" s="57">
        <v>10</v>
      </c>
      <c r="N122" s="57">
        <v>11</v>
      </c>
      <c r="O122" s="57">
        <v>12</v>
      </c>
      <c r="P122" s="57">
        <v>13</v>
      </c>
      <c r="Q122" s="57">
        <v>14</v>
      </c>
      <c r="R122" s="57">
        <v>15</v>
      </c>
      <c r="S122" s="57">
        <v>16</v>
      </c>
      <c r="T122" s="57">
        <v>17</v>
      </c>
      <c r="U122" s="57">
        <v>18</v>
      </c>
      <c r="V122" s="57">
        <v>19</v>
      </c>
      <c r="W122" s="57">
        <v>20</v>
      </c>
      <c r="X122" s="57">
        <v>21</v>
      </c>
      <c r="Y122" s="57">
        <v>22</v>
      </c>
      <c r="Z122" s="57">
        <v>23</v>
      </c>
      <c r="AA122" s="57">
        <v>24</v>
      </c>
    </row>
    <row r="123" spans="1:27" hidden="1" x14ac:dyDescent="0.35">
      <c r="B123" s="3" t="s">
        <v>124</v>
      </c>
      <c r="C123" s="83">
        <f t="shared" ref="C123:AA123" si="193">C124</f>
        <v>0</v>
      </c>
      <c r="D123" s="83">
        <f t="shared" si="193"/>
        <v>0</v>
      </c>
      <c r="E123" s="83">
        <f t="shared" si="193"/>
        <v>0</v>
      </c>
      <c r="F123" s="83">
        <f t="shared" si="193"/>
        <v>0</v>
      </c>
      <c r="G123" s="83">
        <f t="shared" si="193"/>
        <v>0</v>
      </c>
      <c r="H123" s="83">
        <f t="shared" si="193"/>
        <v>371438</v>
      </c>
      <c r="I123" s="83">
        <f t="shared" si="193"/>
        <v>371438</v>
      </c>
      <c r="J123" s="83">
        <f t="shared" si="193"/>
        <v>371438</v>
      </c>
      <c r="K123" s="83">
        <f t="shared" si="193"/>
        <v>371438</v>
      </c>
      <c r="L123" s="83">
        <f t="shared" si="193"/>
        <v>371438</v>
      </c>
      <c r="M123" s="83">
        <f t="shared" si="193"/>
        <v>371438</v>
      </c>
      <c r="N123" s="83">
        <f t="shared" si="193"/>
        <v>371438</v>
      </c>
      <c r="O123" s="83">
        <f t="shared" si="193"/>
        <v>371438</v>
      </c>
      <c r="P123" s="83">
        <f t="shared" si="193"/>
        <v>492526</v>
      </c>
      <c r="Q123" s="83">
        <f t="shared" si="193"/>
        <v>371438</v>
      </c>
      <c r="R123" s="83">
        <f t="shared" si="193"/>
        <v>371438</v>
      </c>
      <c r="S123" s="83">
        <f t="shared" si="193"/>
        <v>371438</v>
      </c>
      <c r="T123" s="83">
        <f t="shared" si="193"/>
        <v>371438</v>
      </c>
      <c r="U123" s="83">
        <f t="shared" si="193"/>
        <v>371438</v>
      </c>
      <c r="V123" s="83">
        <f t="shared" si="193"/>
        <v>371438</v>
      </c>
      <c r="W123" s="83">
        <f t="shared" si="193"/>
        <v>371438</v>
      </c>
      <c r="X123" s="83">
        <f t="shared" si="193"/>
        <v>371438</v>
      </c>
      <c r="Y123" s="83">
        <f t="shared" si="193"/>
        <v>371438</v>
      </c>
      <c r="Z123" s="83">
        <f t="shared" si="193"/>
        <v>371438</v>
      </c>
      <c r="AA123" s="83">
        <f t="shared" si="193"/>
        <v>371438.05000000005</v>
      </c>
    </row>
    <row r="124" spans="1:27" hidden="1" x14ac:dyDescent="0.35">
      <c r="B124" s="69" t="s">
        <v>126</v>
      </c>
      <c r="C124" s="85">
        <f>C45</f>
        <v>0</v>
      </c>
      <c r="D124" s="85">
        <f t="shared" ref="D124:AA124" si="194">D$5</f>
        <v>0</v>
      </c>
      <c r="E124" s="85">
        <f t="shared" si="194"/>
        <v>0</v>
      </c>
      <c r="F124" s="85">
        <f t="shared" si="194"/>
        <v>0</v>
      </c>
      <c r="G124" s="85">
        <f t="shared" si="194"/>
        <v>0</v>
      </c>
      <c r="H124" s="85">
        <f t="shared" si="194"/>
        <v>371438</v>
      </c>
      <c r="I124" s="85">
        <f t="shared" si="194"/>
        <v>371438</v>
      </c>
      <c r="J124" s="85">
        <f t="shared" si="194"/>
        <v>371438</v>
      </c>
      <c r="K124" s="85">
        <f t="shared" si="194"/>
        <v>371438</v>
      </c>
      <c r="L124" s="85">
        <f t="shared" si="194"/>
        <v>371438</v>
      </c>
      <c r="M124" s="85">
        <f t="shared" si="194"/>
        <v>371438</v>
      </c>
      <c r="N124" s="85">
        <f t="shared" si="194"/>
        <v>371438</v>
      </c>
      <c r="O124" s="85">
        <f t="shared" si="194"/>
        <v>371438</v>
      </c>
      <c r="P124" s="85">
        <f t="shared" si="194"/>
        <v>492526</v>
      </c>
      <c r="Q124" s="85">
        <f t="shared" si="194"/>
        <v>371438</v>
      </c>
      <c r="R124" s="85">
        <f t="shared" si="194"/>
        <v>371438</v>
      </c>
      <c r="S124" s="85">
        <f t="shared" si="194"/>
        <v>371438</v>
      </c>
      <c r="T124" s="85">
        <f t="shared" si="194"/>
        <v>371438</v>
      </c>
      <c r="U124" s="85">
        <f t="shared" si="194"/>
        <v>371438</v>
      </c>
      <c r="V124" s="85">
        <f t="shared" si="194"/>
        <v>371438</v>
      </c>
      <c r="W124" s="85">
        <f t="shared" si="194"/>
        <v>371438</v>
      </c>
      <c r="X124" s="85">
        <f t="shared" si="194"/>
        <v>371438</v>
      </c>
      <c r="Y124" s="85">
        <f t="shared" si="194"/>
        <v>371438</v>
      </c>
      <c r="Z124" s="85">
        <f t="shared" si="194"/>
        <v>371438</v>
      </c>
      <c r="AA124" s="85">
        <f t="shared" si="194"/>
        <v>371438.05000000005</v>
      </c>
    </row>
    <row r="125" spans="1:27" hidden="1" x14ac:dyDescent="0.35">
      <c r="B125" s="3" t="s">
        <v>109</v>
      </c>
      <c r="C125" s="83">
        <f t="shared" ref="C125:AA125" si="195">C126+C127</f>
        <v>0</v>
      </c>
      <c r="D125" s="83">
        <f t="shared" si="195"/>
        <v>187500</v>
      </c>
      <c r="E125" s="83">
        <f t="shared" si="195"/>
        <v>434652.5</v>
      </c>
      <c r="F125" s="83">
        <f t="shared" si="195"/>
        <v>1509972.0966099999</v>
      </c>
      <c r="G125" s="83">
        <f t="shared" si="195"/>
        <v>4014064.7935640984</v>
      </c>
      <c r="H125" s="83">
        <f t="shared" si="195"/>
        <v>2847816.2078251997</v>
      </c>
      <c r="I125" s="83">
        <f t="shared" si="195"/>
        <v>2771141.8266784917</v>
      </c>
      <c r="J125" s="83">
        <f t="shared" si="195"/>
        <v>2694694.9254791681</v>
      </c>
      <c r="K125" s="83">
        <f t="shared" si="195"/>
        <v>2618478.9164264407</v>
      </c>
      <c r="L125" s="83">
        <f t="shared" si="195"/>
        <v>2542497.2629025076</v>
      </c>
      <c r="M125" s="83">
        <f t="shared" si="195"/>
        <v>2466753.4802403012</v>
      </c>
      <c r="N125" s="83">
        <f t="shared" si="195"/>
        <v>2391251.1365027474</v>
      </c>
      <c r="O125" s="83">
        <f t="shared" si="195"/>
        <v>2315993.8532737158</v>
      </c>
      <c r="P125" s="83">
        <f t="shared" si="195"/>
        <v>2964860.3721905053</v>
      </c>
      <c r="Q125" s="83">
        <f t="shared" si="195"/>
        <v>5105161.9939728081</v>
      </c>
      <c r="R125" s="83">
        <f t="shared" si="195"/>
        <v>2091729.4022341846</v>
      </c>
      <c r="S125" s="83">
        <f t="shared" si="195"/>
        <v>2017489.6756494672</v>
      </c>
      <c r="T125" s="83">
        <f t="shared" si="195"/>
        <v>1943513.9488305645</v>
      </c>
      <c r="U125" s="83">
        <f t="shared" si="195"/>
        <v>1869806.1817739638</v>
      </c>
      <c r="V125" s="83">
        <f t="shared" si="195"/>
        <v>1796370.3938761</v>
      </c>
      <c r="W125" s="83">
        <f t="shared" si="195"/>
        <v>1723210.6648243535</v>
      </c>
      <c r="X125" s="83">
        <f t="shared" si="195"/>
        <v>1650331.1355014166</v>
      </c>
      <c r="Y125" s="83">
        <f t="shared" si="195"/>
        <v>1577736.0089032212</v>
      </c>
      <c r="Z125" s="83">
        <f t="shared" si="195"/>
        <v>1505429.5510706385</v>
      </c>
      <c r="AA125" s="83">
        <f t="shared" si="195"/>
        <v>1433416.0910627791</v>
      </c>
    </row>
    <row r="126" spans="1:27" hidden="1" x14ac:dyDescent="0.35">
      <c r="B126" s="69" t="s">
        <v>146</v>
      </c>
      <c r="C126" s="85">
        <f t="shared" ref="C126:AA126" si="196">+C156</f>
        <v>0</v>
      </c>
      <c r="D126" s="85">
        <f t="shared" si="196"/>
        <v>187500</v>
      </c>
      <c r="E126" s="85">
        <f t="shared" si="196"/>
        <v>434652.5</v>
      </c>
      <c r="F126" s="85">
        <f t="shared" si="196"/>
        <v>876876.58125000005</v>
      </c>
      <c r="G126" s="85">
        <f t="shared" si="196"/>
        <v>1443697.0012025</v>
      </c>
      <c r="H126" s="85">
        <f t="shared" si="196"/>
        <v>1836794.219447481</v>
      </c>
      <c r="I126" s="85">
        <f t="shared" si="196"/>
        <v>1744954.5084751071</v>
      </c>
      <c r="J126" s="85">
        <f t="shared" si="196"/>
        <v>1653114.7975027328</v>
      </c>
      <c r="K126" s="85">
        <f t="shared" si="196"/>
        <v>1561275.0865303588</v>
      </c>
      <c r="L126" s="85">
        <f t="shared" si="196"/>
        <v>1469435.3755579847</v>
      </c>
      <c r="M126" s="85">
        <f t="shared" si="196"/>
        <v>1377595.6645856106</v>
      </c>
      <c r="N126" s="85">
        <f t="shared" si="196"/>
        <v>1285755.9536132365</v>
      </c>
      <c r="O126" s="85">
        <f t="shared" si="196"/>
        <v>1193916.2426408622</v>
      </c>
      <c r="P126" s="85">
        <f t="shared" si="196"/>
        <v>1102076.5316684882</v>
      </c>
      <c r="Q126" s="85">
        <f t="shared" si="196"/>
        <v>1010236.8206961141</v>
      </c>
      <c r="R126" s="85">
        <f t="shared" si="196"/>
        <v>918397.10972373991</v>
      </c>
      <c r="S126" s="85">
        <f t="shared" si="196"/>
        <v>826557.39875136595</v>
      </c>
      <c r="T126" s="85">
        <f t="shared" si="196"/>
        <v>734717.68777899188</v>
      </c>
      <c r="U126" s="85">
        <f t="shared" si="196"/>
        <v>642877.97680661781</v>
      </c>
      <c r="V126" s="85">
        <f t="shared" si="196"/>
        <v>551038.26583424385</v>
      </c>
      <c r="W126" s="85">
        <f t="shared" si="196"/>
        <v>459198.55486186978</v>
      </c>
      <c r="X126" s="85">
        <f t="shared" si="196"/>
        <v>367358.84388949577</v>
      </c>
      <c r="Y126" s="85">
        <f t="shared" si="196"/>
        <v>275519.13291712169</v>
      </c>
      <c r="Z126" s="85">
        <f t="shared" si="196"/>
        <v>183679.42194474768</v>
      </c>
      <c r="AA126" s="85">
        <f t="shared" si="196"/>
        <v>91839.71</v>
      </c>
    </row>
    <row r="127" spans="1:27" hidden="1" x14ac:dyDescent="0.35">
      <c r="B127" s="69" t="s">
        <v>163</v>
      </c>
      <c r="C127" s="85">
        <f t="shared" ref="C127:AA127" si="197">SUM(C128:C130)</f>
        <v>0</v>
      </c>
      <c r="D127" s="85">
        <f t="shared" si="197"/>
        <v>0</v>
      </c>
      <c r="E127" s="85">
        <f t="shared" si="197"/>
        <v>0</v>
      </c>
      <c r="F127" s="85">
        <f t="shared" si="197"/>
        <v>633095.51535999984</v>
      </c>
      <c r="G127" s="85">
        <f t="shared" si="197"/>
        <v>2570367.7923615985</v>
      </c>
      <c r="H127" s="85">
        <f t="shared" si="197"/>
        <v>1011021.988377719</v>
      </c>
      <c r="I127" s="85">
        <f t="shared" si="197"/>
        <v>1026187.3182033846</v>
      </c>
      <c r="J127" s="85">
        <f t="shared" si="197"/>
        <v>1041580.1279764354</v>
      </c>
      <c r="K127" s="85">
        <f t="shared" si="197"/>
        <v>1057203.8298960817</v>
      </c>
      <c r="L127" s="85">
        <f t="shared" si="197"/>
        <v>1073061.8873445229</v>
      </c>
      <c r="M127" s="85">
        <f t="shared" si="197"/>
        <v>1089157.8156546906</v>
      </c>
      <c r="N127" s="85">
        <f t="shared" si="197"/>
        <v>1105495.1828895109</v>
      </c>
      <c r="O127" s="85">
        <f t="shared" si="197"/>
        <v>1122077.6106328536</v>
      </c>
      <c r="P127" s="85">
        <f t="shared" si="197"/>
        <v>1862783.8405220169</v>
      </c>
      <c r="Q127" s="85">
        <f t="shared" si="197"/>
        <v>4094925.173276694</v>
      </c>
      <c r="R127" s="85">
        <f t="shared" si="197"/>
        <v>1173332.2925104445</v>
      </c>
      <c r="S127" s="85">
        <f t="shared" si="197"/>
        <v>1190932.2768981012</v>
      </c>
      <c r="T127" s="85">
        <f t="shared" si="197"/>
        <v>1208796.2610515726</v>
      </c>
      <c r="U127" s="85">
        <f t="shared" si="197"/>
        <v>1226928.204967346</v>
      </c>
      <c r="V127" s="85">
        <f t="shared" si="197"/>
        <v>1245332.128041856</v>
      </c>
      <c r="W127" s="85">
        <f t="shared" si="197"/>
        <v>1264012.1099624839</v>
      </c>
      <c r="X127" s="85">
        <f t="shared" si="197"/>
        <v>1282972.2916119208</v>
      </c>
      <c r="Y127" s="85">
        <f t="shared" si="197"/>
        <v>1302216.8759860995</v>
      </c>
      <c r="Z127" s="85">
        <f t="shared" si="197"/>
        <v>1321750.1291258908</v>
      </c>
      <c r="AA127" s="85">
        <f t="shared" si="197"/>
        <v>1341576.3810627791</v>
      </c>
    </row>
    <row r="128" spans="1:27" hidden="1" x14ac:dyDescent="0.35">
      <c r="B128" s="129" t="s">
        <v>108</v>
      </c>
      <c r="C128" s="85">
        <f t="shared" ref="C128:AA128" si="198">C49</f>
        <v>0</v>
      </c>
      <c r="D128" s="85">
        <f t="shared" si="198"/>
        <v>0</v>
      </c>
      <c r="E128" s="85">
        <f t="shared" si="198"/>
        <v>0</v>
      </c>
      <c r="F128" s="85">
        <f t="shared" si="198"/>
        <v>0</v>
      </c>
      <c r="G128" s="85">
        <f t="shared" si="198"/>
        <v>0</v>
      </c>
      <c r="H128" s="85">
        <f t="shared" si="198"/>
        <v>92624.878653978507</v>
      </c>
      <c r="I128" s="85">
        <f t="shared" si="198"/>
        <v>94014.251833788163</v>
      </c>
      <c r="J128" s="85">
        <f t="shared" si="198"/>
        <v>95424.465611294974</v>
      </c>
      <c r="K128" s="85">
        <f t="shared" si="198"/>
        <v>96855.832595464381</v>
      </c>
      <c r="L128" s="85">
        <f t="shared" si="198"/>
        <v>98308.670084396334</v>
      </c>
      <c r="M128" s="85">
        <f t="shared" si="198"/>
        <v>99783.30013566227</v>
      </c>
      <c r="N128" s="85">
        <f t="shared" si="198"/>
        <v>101280.0496376972</v>
      </c>
      <c r="O128" s="85">
        <f t="shared" si="198"/>
        <v>102799.25038226263</v>
      </c>
      <c r="P128" s="85">
        <f t="shared" si="198"/>
        <v>104341.23913799657</v>
      </c>
      <c r="Q128" s="85">
        <f t="shared" si="198"/>
        <v>105906.35772506648</v>
      </c>
      <c r="R128" s="85">
        <f t="shared" si="198"/>
        <v>107494.95309094246</v>
      </c>
      <c r="S128" s="85">
        <f t="shared" si="198"/>
        <v>109107.37738730659</v>
      </c>
      <c r="T128" s="85">
        <f t="shared" si="198"/>
        <v>110743.98804811617</v>
      </c>
      <c r="U128" s="85">
        <f t="shared" si="198"/>
        <v>112405.14786883791</v>
      </c>
      <c r="V128" s="85">
        <f t="shared" si="198"/>
        <v>114091.22508687047</v>
      </c>
      <c r="W128" s="85">
        <f t="shared" si="198"/>
        <v>115802.59346317349</v>
      </c>
      <c r="X128" s="85">
        <f t="shared" si="198"/>
        <v>117539.63236512108</v>
      </c>
      <c r="Y128" s="85">
        <f t="shared" si="198"/>
        <v>119302.72685059787</v>
      </c>
      <c r="Z128" s="85">
        <f t="shared" si="198"/>
        <v>121092.26775335683</v>
      </c>
      <c r="AA128" s="85">
        <f t="shared" si="198"/>
        <v>122908.65176965717</v>
      </c>
    </row>
    <row r="129" spans="2:27" hidden="1" x14ac:dyDescent="0.35">
      <c r="B129" s="129" t="s">
        <v>110</v>
      </c>
      <c r="C129" s="85">
        <f>C50</f>
        <v>0</v>
      </c>
      <c r="D129" s="85">
        <f>D50</f>
        <v>0</v>
      </c>
      <c r="E129" s="85">
        <f>E50</f>
        <v>0</v>
      </c>
      <c r="F129" s="85">
        <f>F50</f>
        <v>0</v>
      </c>
      <c r="G129" s="85">
        <f>G50</f>
        <v>0</v>
      </c>
      <c r="H129" s="85">
        <f>SUM(C136:G136)*0.05</f>
        <v>918397.10972374049</v>
      </c>
      <c r="I129" s="85">
        <f>H129*(1+'Sensitivity 2'!$D$5)</f>
        <v>932173.06636959652</v>
      </c>
      <c r="J129" s="85">
        <f>I129*(1+'Sensitivity 2'!$D$5)</f>
        <v>946155.66236514039</v>
      </c>
      <c r="K129" s="85">
        <f>J129*(1+'Sensitivity 2'!$D$5)</f>
        <v>960347.9973006174</v>
      </c>
      <c r="L129" s="85">
        <f>K129*(1+'Sensitivity 2'!$D$5)</f>
        <v>974753.21726012661</v>
      </c>
      <c r="M129" s="85">
        <f>L129*(1+'Sensitivity 2'!$D$5)</f>
        <v>989374.51551902841</v>
      </c>
      <c r="N129" s="85">
        <f>M129*(1+'Sensitivity 2'!$D$5)</f>
        <v>1004215.1332518137</v>
      </c>
      <c r="O129" s="85">
        <f>N129*(1+'Sensitivity 2'!$D$5)</f>
        <v>1019278.3602505908</v>
      </c>
      <c r="P129" s="85">
        <f>O129*(1+'Sensitivity 2'!$D$5)</f>
        <v>1034567.5356543496</v>
      </c>
      <c r="Q129" s="85">
        <f>P129*(1+'Sensitivity 2'!$D$5)</f>
        <v>1050086.0486891647</v>
      </c>
      <c r="R129" s="85">
        <f>Q129*(1+'Sensitivity 2'!$D$5)</f>
        <v>1065837.3394195021</v>
      </c>
      <c r="S129" s="85">
        <f>R129*(1+'Sensitivity 2'!$D$5)</f>
        <v>1081824.8995107946</v>
      </c>
      <c r="T129" s="85">
        <f>S129*(1+'Sensitivity 2'!$D$5)</f>
        <v>1098052.2730034564</v>
      </c>
      <c r="U129" s="85">
        <f>T129*(1+'Sensitivity 2'!$D$5)</f>
        <v>1114523.0570985081</v>
      </c>
      <c r="V129" s="85">
        <f>U129*(1+'Sensitivity 2'!$D$5)</f>
        <v>1131240.9029549856</v>
      </c>
      <c r="W129" s="85">
        <f>V129*(1+'Sensitivity 2'!$D$5)</f>
        <v>1148209.5164993103</v>
      </c>
      <c r="X129" s="85">
        <f>W129*(1+'Sensitivity 2'!$D$5)</f>
        <v>1165432.6592467998</v>
      </c>
      <c r="Y129" s="85">
        <f>X129*(1+'Sensitivity 2'!$D$5)</f>
        <v>1182914.1491355016</v>
      </c>
      <c r="Z129" s="85">
        <f>Y129*(1+'Sensitivity 2'!$D$5)</f>
        <v>1200657.861372534</v>
      </c>
      <c r="AA129" s="85">
        <f>Z129*(1+'Sensitivity 2'!$D$5)</f>
        <v>1218667.729293122</v>
      </c>
    </row>
    <row r="130" spans="2:27" hidden="1" collapsed="1" x14ac:dyDescent="0.35">
      <c r="B130" s="129" t="s">
        <v>125</v>
      </c>
      <c r="C130" s="85">
        <f t="shared" ref="C130:Z130" si="199">+SUM(C131:C135)</f>
        <v>0</v>
      </c>
      <c r="D130" s="85">
        <f t="shared" si="199"/>
        <v>0</v>
      </c>
      <c r="E130" s="85">
        <f t="shared" si="199"/>
        <v>0</v>
      </c>
      <c r="F130" s="85">
        <f t="shared" si="199"/>
        <v>633095.51535999984</v>
      </c>
      <c r="G130" s="85">
        <f t="shared" si="199"/>
        <v>2570367.7923615985</v>
      </c>
      <c r="H130" s="85">
        <f t="shared" si="199"/>
        <v>0</v>
      </c>
      <c r="I130" s="85">
        <f t="shared" si="199"/>
        <v>0</v>
      </c>
      <c r="J130" s="85">
        <f t="shared" si="199"/>
        <v>0</v>
      </c>
      <c r="K130" s="85">
        <f t="shared" si="199"/>
        <v>0</v>
      </c>
      <c r="L130" s="85">
        <f t="shared" si="199"/>
        <v>0</v>
      </c>
      <c r="M130" s="85">
        <f t="shared" si="199"/>
        <v>0</v>
      </c>
      <c r="N130" s="85">
        <f t="shared" si="199"/>
        <v>0</v>
      </c>
      <c r="O130" s="85">
        <f t="shared" si="199"/>
        <v>0</v>
      </c>
      <c r="P130" s="85">
        <f t="shared" si="199"/>
        <v>723875.06572967069</v>
      </c>
      <c r="Q130" s="85">
        <f t="shared" si="199"/>
        <v>2938932.7668624627</v>
      </c>
      <c r="R130" s="85">
        <f t="shared" si="199"/>
        <v>0</v>
      </c>
      <c r="S130" s="85">
        <f t="shared" si="199"/>
        <v>0</v>
      </c>
      <c r="T130" s="85">
        <f t="shared" si="199"/>
        <v>0</v>
      </c>
      <c r="U130" s="85">
        <f t="shared" si="199"/>
        <v>0</v>
      </c>
      <c r="V130" s="85">
        <f t="shared" si="199"/>
        <v>0</v>
      </c>
      <c r="W130" s="85">
        <f t="shared" si="199"/>
        <v>0</v>
      </c>
      <c r="X130" s="85">
        <f t="shared" si="199"/>
        <v>0</v>
      </c>
      <c r="Y130" s="85">
        <f t="shared" si="199"/>
        <v>0</v>
      </c>
      <c r="Z130" s="85">
        <f t="shared" si="199"/>
        <v>0</v>
      </c>
      <c r="AA130" s="85">
        <f t="shared" ref="AA130" si="200">+SUM(AA131:AA135)</f>
        <v>0</v>
      </c>
    </row>
    <row r="131" spans="2:27" hidden="1" outlineLevel="1" x14ac:dyDescent="0.35">
      <c r="B131" s="133" t="s">
        <v>27</v>
      </c>
      <c r="C131" s="85">
        <f t="shared" ref="C131:E135" si="201">C12</f>
        <v>0</v>
      </c>
      <c r="D131" s="85">
        <f t="shared" si="201"/>
        <v>0</v>
      </c>
      <c r="E131" s="85">
        <f t="shared" si="201"/>
        <v>0</v>
      </c>
      <c r="F131" s="85">
        <f>+'Project Assumptions'!$D36/'Sensitivity 2'!$D$6*'Sensitivity 2'!$G$6*'Project Assumptions'!$E36*'Project Assumptions'!J36*(1+'Sensitivity 2'!$D$5)^'Government Impact_baseline'!F$3*'Sensitivity 2'!$D$13</f>
        <v>122302.54273999996</v>
      </c>
      <c r="G131" s="85">
        <f>+'Project Assumptions'!$D36/'Sensitivity 2'!$D$6*'Sensitivity 2'!$G$6*'Project Assumptions'!$E36*'Project Assumptions'!K36*(1+'Sensitivity 2'!$D$5)^'Government Impact_baseline'!G$3*'Sensitivity 2'!$D$13</f>
        <v>496548.32352439972</v>
      </c>
      <c r="H131" s="85">
        <f t="shared" ref="H131:O135" si="202">H12</f>
        <v>0</v>
      </c>
      <c r="I131" s="85">
        <f t="shared" si="202"/>
        <v>0</v>
      </c>
      <c r="J131" s="85">
        <f t="shared" si="202"/>
        <v>0</v>
      </c>
      <c r="K131" s="85">
        <f t="shared" si="202"/>
        <v>0</v>
      </c>
      <c r="L131" s="85">
        <f t="shared" si="202"/>
        <v>0</v>
      </c>
      <c r="M131" s="85">
        <f t="shared" si="202"/>
        <v>0</v>
      </c>
      <c r="N131" s="85">
        <f t="shared" si="202"/>
        <v>0</v>
      </c>
      <c r="O131" s="85">
        <f t="shared" si="202"/>
        <v>0</v>
      </c>
      <c r="P131" s="85">
        <f>+'Project Assumptions'!$D36/'Sensitivity 2'!$D$6*'Sensitivity 2'!$G$6*'Project Assumptions'!$E36*'Project Assumptions'!M36*(1+'Sensitivity 2'!$D$5)^'Government Impact_baseline'!O$3*'Sensitivity 2'!$D$13</f>
        <v>139839.50133414092</v>
      </c>
      <c r="Q131" s="85">
        <f>+'Project Assumptions'!$D36/'Sensitivity 2'!$D$6*'Sensitivity 2'!$G$6*'Project Assumptions'!$E36*'Project Assumptions'!N36*(1+'Sensitivity 2'!$D$5)^'Government Impact_baseline'!P$3*'Sensitivity 2'!$D$13</f>
        <v>567748.37541661214</v>
      </c>
      <c r="R131" s="85">
        <f t="shared" ref="R131:AA131" si="203">R12</f>
        <v>0</v>
      </c>
      <c r="S131" s="85">
        <f t="shared" si="203"/>
        <v>0</v>
      </c>
      <c r="T131" s="85">
        <f t="shared" si="203"/>
        <v>0</v>
      </c>
      <c r="U131" s="85">
        <f t="shared" si="203"/>
        <v>0</v>
      </c>
      <c r="V131" s="85">
        <f t="shared" si="203"/>
        <v>0</v>
      </c>
      <c r="W131" s="85">
        <f t="shared" si="203"/>
        <v>0</v>
      </c>
      <c r="X131" s="85">
        <f t="shared" si="203"/>
        <v>0</v>
      </c>
      <c r="Y131" s="85">
        <f t="shared" si="203"/>
        <v>0</v>
      </c>
      <c r="Z131" s="85">
        <f t="shared" si="203"/>
        <v>0</v>
      </c>
      <c r="AA131" s="85">
        <f t="shared" si="203"/>
        <v>0</v>
      </c>
    </row>
    <row r="132" spans="2:27" hidden="1" outlineLevel="1" x14ac:dyDescent="0.35">
      <c r="B132" s="133" t="s">
        <v>42</v>
      </c>
      <c r="C132" s="85">
        <f t="shared" si="201"/>
        <v>0</v>
      </c>
      <c r="D132" s="85">
        <f t="shared" si="201"/>
        <v>0</v>
      </c>
      <c r="E132" s="85">
        <f t="shared" si="201"/>
        <v>0</v>
      </c>
      <c r="F132" s="85">
        <f>+'Project Assumptions'!$D37/'Sensitivity 2'!$D$6*'Sensitivity 2'!$G$6*'Project Assumptions'!$E37*'Project Assumptions'!J37*(1+'Sensitivity 2'!$D$5)^'Government Impact_baseline'!F$3*'Sensitivity 2'!$D$13</f>
        <v>68345.538589999967</v>
      </c>
      <c r="G132" s="85">
        <f>+'Project Assumptions'!$D37/'Sensitivity 2'!$D$6*'Sensitivity 2'!$G$6*'Project Assumptions'!$E37*'Project Assumptions'!K37*(1+'Sensitivity 2'!$D$5)^'Government Impact_baseline'!G$3*'Sensitivity 2'!$D$13</f>
        <v>277482.88667539984</v>
      </c>
      <c r="H132" s="85">
        <f t="shared" si="202"/>
        <v>0</v>
      </c>
      <c r="I132" s="85">
        <f t="shared" si="202"/>
        <v>0</v>
      </c>
      <c r="J132" s="85">
        <f t="shared" si="202"/>
        <v>0</v>
      </c>
      <c r="K132" s="85">
        <f t="shared" si="202"/>
        <v>0</v>
      </c>
      <c r="L132" s="85">
        <f t="shared" si="202"/>
        <v>0</v>
      </c>
      <c r="M132" s="85">
        <f t="shared" si="202"/>
        <v>0</v>
      </c>
      <c r="N132" s="85">
        <f t="shared" si="202"/>
        <v>0</v>
      </c>
      <c r="O132" s="85">
        <f t="shared" si="202"/>
        <v>0</v>
      </c>
      <c r="P132" s="85">
        <f>+'Project Assumptions'!$D37/'Sensitivity 2'!$D$6*'Sensitivity 2'!$G$6*'Project Assumptions'!$E37*'Project Assumptions'!M37*(1+'Sensitivity 2'!$D$5)^'Government Impact_baseline'!O$3*'Sensitivity 2'!$D$13</f>
        <v>78145.603686725808</v>
      </c>
      <c r="Q132" s="85">
        <f>+'Project Assumptions'!$D37/'Sensitivity 2'!$D$6*'Sensitivity 2'!$G$6*'Project Assumptions'!$E37*'Project Assumptions'!N37*(1+'Sensitivity 2'!$D$5)^'Government Impact_baseline'!P$3*'Sensitivity 2'!$D$13</f>
        <v>317271.15096810681</v>
      </c>
      <c r="R132" s="85">
        <f t="shared" ref="R132:AA132" si="204">R13</f>
        <v>0</v>
      </c>
      <c r="S132" s="85">
        <f t="shared" si="204"/>
        <v>0</v>
      </c>
      <c r="T132" s="85">
        <f t="shared" si="204"/>
        <v>0</v>
      </c>
      <c r="U132" s="85">
        <f t="shared" si="204"/>
        <v>0</v>
      </c>
      <c r="V132" s="85">
        <f t="shared" si="204"/>
        <v>0</v>
      </c>
      <c r="W132" s="85">
        <f t="shared" si="204"/>
        <v>0</v>
      </c>
      <c r="X132" s="85">
        <f t="shared" si="204"/>
        <v>0</v>
      </c>
      <c r="Y132" s="85">
        <f t="shared" si="204"/>
        <v>0</v>
      </c>
      <c r="Z132" s="85">
        <f t="shared" si="204"/>
        <v>0</v>
      </c>
      <c r="AA132" s="85">
        <f t="shared" si="204"/>
        <v>0</v>
      </c>
    </row>
    <row r="133" spans="2:27" hidden="1" outlineLevel="1" x14ac:dyDescent="0.35">
      <c r="B133" s="133" t="s">
        <v>150</v>
      </c>
      <c r="C133" s="85">
        <f t="shared" si="201"/>
        <v>0</v>
      </c>
      <c r="D133" s="85">
        <f t="shared" si="201"/>
        <v>0</v>
      </c>
      <c r="E133" s="85">
        <f t="shared" si="201"/>
        <v>0</v>
      </c>
      <c r="F133" s="85">
        <f>+'Project Assumptions'!$D38/'Sensitivity 2'!$D$6*'Sensitivity 2'!$G$6*'Project Assumptions'!$E38*'Project Assumptions'!J38*(1+'Sensitivity 2'!$D$5)^'Government Impact_baseline'!F$3*'Sensitivity 2'!$D$13</f>
        <v>93525.473859999969</v>
      </c>
      <c r="G133" s="85">
        <f>+'Project Assumptions'!$D38/'Sensitivity 2'!$D$6*'Sensitivity 2'!$G$6*'Project Assumptions'!$E38*'Project Assumptions'!K38*(1+'Sensitivity 2'!$D$5)^'Government Impact_baseline'!G$3*'Sensitivity 2'!$D$13</f>
        <v>379713.42387159978</v>
      </c>
      <c r="H133" s="85">
        <f t="shared" si="202"/>
        <v>0</v>
      </c>
      <c r="I133" s="85">
        <f t="shared" si="202"/>
        <v>0</v>
      </c>
      <c r="J133" s="85">
        <f t="shared" si="202"/>
        <v>0</v>
      </c>
      <c r="K133" s="85">
        <f t="shared" si="202"/>
        <v>0</v>
      </c>
      <c r="L133" s="85">
        <f t="shared" si="202"/>
        <v>0</v>
      </c>
      <c r="M133" s="85">
        <f t="shared" si="202"/>
        <v>0</v>
      </c>
      <c r="N133" s="85">
        <f t="shared" si="202"/>
        <v>0</v>
      </c>
      <c r="O133" s="85">
        <f t="shared" si="202"/>
        <v>0</v>
      </c>
      <c r="P133" s="85">
        <f>+'Project Assumptions'!$D38/'Sensitivity 2'!$D$6*'Sensitivity 2'!$G$6*'Project Assumptions'!$E38*'Project Assumptions'!M38*(1+'Sensitivity 2'!$D$5)^'Government Impact_baseline'!O$3*'Sensitivity 2'!$D$13</f>
        <v>106936.08925551953</v>
      </c>
      <c r="Q133" s="85">
        <f>+'Project Assumptions'!$D38/'Sensitivity 2'!$D$6*'Sensitivity 2'!$G$6*'Project Assumptions'!$E38*'Project Assumptions'!N38*(1+'Sensitivity 2'!$D$5)^'Government Impact_baseline'!P$3*'Sensitivity 2'!$D$13</f>
        <v>434160.52237740927</v>
      </c>
      <c r="R133" s="85">
        <f t="shared" ref="R133:AA133" si="205">R14</f>
        <v>0</v>
      </c>
      <c r="S133" s="85">
        <f t="shared" si="205"/>
        <v>0</v>
      </c>
      <c r="T133" s="85">
        <f t="shared" si="205"/>
        <v>0</v>
      </c>
      <c r="U133" s="85">
        <f t="shared" si="205"/>
        <v>0</v>
      </c>
      <c r="V133" s="85">
        <f t="shared" si="205"/>
        <v>0</v>
      </c>
      <c r="W133" s="85">
        <f t="shared" si="205"/>
        <v>0</v>
      </c>
      <c r="X133" s="85">
        <f t="shared" si="205"/>
        <v>0</v>
      </c>
      <c r="Y133" s="85">
        <f t="shared" si="205"/>
        <v>0</v>
      </c>
      <c r="Z133" s="85">
        <f t="shared" si="205"/>
        <v>0</v>
      </c>
      <c r="AA133" s="85">
        <f t="shared" si="205"/>
        <v>0</v>
      </c>
    </row>
    <row r="134" spans="2:27" hidden="1" outlineLevel="1" x14ac:dyDescent="0.35">
      <c r="B134" s="133" t="s">
        <v>43</v>
      </c>
      <c r="C134" s="85">
        <f t="shared" si="201"/>
        <v>0</v>
      </c>
      <c r="D134" s="85">
        <f t="shared" si="201"/>
        <v>0</v>
      </c>
      <c r="E134" s="85">
        <f t="shared" si="201"/>
        <v>0</v>
      </c>
      <c r="F134" s="85">
        <f>+'Project Assumptions'!$D39/'Sensitivity 2'!$D$6*'Sensitivity 2'!$G$6*'Project Assumptions'!$E39*'Project Assumptions'!J39*(1+'Sensitivity 2'!$D$5)^'Government Impact_baseline'!F$3*'Sensitivity 2'!$D$13</f>
        <v>46762.736929999985</v>
      </c>
      <c r="G134" s="85">
        <f>+'Project Assumptions'!$D39/'Sensitivity 2'!$D$6*'Sensitivity 2'!$G$6*'Project Assumptions'!$E39*'Project Assumptions'!K39*(1+'Sensitivity 2'!$D$5)^'Government Impact_baseline'!G$3*'Sensitivity 2'!$D$13</f>
        <v>189856.71193579989</v>
      </c>
      <c r="H134" s="85">
        <f t="shared" si="202"/>
        <v>0</v>
      </c>
      <c r="I134" s="85">
        <f t="shared" si="202"/>
        <v>0</v>
      </c>
      <c r="J134" s="85">
        <f t="shared" si="202"/>
        <v>0</v>
      </c>
      <c r="K134" s="85">
        <f t="shared" si="202"/>
        <v>0</v>
      </c>
      <c r="L134" s="85">
        <f t="shared" si="202"/>
        <v>0</v>
      </c>
      <c r="M134" s="85">
        <f t="shared" si="202"/>
        <v>0</v>
      </c>
      <c r="N134" s="85">
        <f t="shared" si="202"/>
        <v>0</v>
      </c>
      <c r="O134" s="85">
        <f t="shared" si="202"/>
        <v>0</v>
      </c>
      <c r="P134" s="85">
        <f>+'Project Assumptions'!$D39/'Sensitivity 2'!$D$6*'Sensitivity 2'!$G$6*'Project Assumptions'!$E39*'Project Assumptions'!M39*(1+'Sensitivity 2'!$D$5)^'Government Impact_baseline'!O$3*'Sensitivity 2'!$D$13</f>
        <v>53468.044627759766</v>
      </c>
      <c r="Q134" s="85">
        <f>+'Project Assumptions'!$D39/'Sensitivity 2'!$D$6*'Sensitivity 2'!$G$6*'Project Assumptions'!$E39*'Project Assumptions'!N39*(1+'Sensitivity 2'!$D$5)^'Government Impact_baseline'!P$3*'Sensitivity 2'!$D$13</f>
        <v>217080.26118870464</v>
      </c>
      <c r="R134" s="85">
        <f t="shared" ref="R134:AA134" si="206">R15</f>
        <v>0</v>
      </c>
      <c r="S134" s="85">
        <f t="shared" si="206"/>
        <v>0</v>
      </c>
      <c r="T134" s="85">
        <f t="shared" si="206"/>
        <v>0</v>
      </c>
      <c r="U134" s="85">
        <f t="shared" si="206"/>
        <v>0</v>
      </c>
      <c r="V134" s="85">
        <f t="shared" si="206"/>
        <v>0</v>
      </c>
      <c r="W134" s="85">
        <f t="shared" si="206"/>
        <v>0</v>
      </c>
      <c r="X134" s="85">
        <f t="shared" si="206"/>
        <v>0</v>
      </c>
      <c r="Y134" s="85">
        <f t="shared" si="206"/>
        <v>0</v>
      </c>
      <c r="Z134" s="85">
        <f t="shared" si="206"/>
        <v>0</v>
      </c>
      <c r="AA134" s="85">
        <f t="shared" si="206"/>
        <v>0</v>
      </c>
    </row>
    <row r="135" spans="2:27" hidden="1" outlineLevel="1" x14ac:dyDescent="0.35">
      <c r="B135" s="133" t="s">
        <v>44</v>
      </c>
      <c r="C135" s="85">
        <f t="shared" si="201"/>
        <v>0</v>
      </c>
      <c r="D135" s="85">
        <f t="shared" si="201"/>
        <v>0</v>
      </c>
      <c r="E135" s="85">
        <f t="shared" si="201"/>
        <v>0</v>
      </c>
      <c r="F135" s="85">
        <f>+'Project Assumptions'!$D40/'Sensitivity 2'!$D$6*'Sensitivity 2'!$G$6*'Project Assumptions'!$E40*'Project Assumptions'!J40*(1+'Sensitivity 2'!$D$5)^'Government Impact_baseline'!F$3*'Sensitivity 2'!$D$13</f>
        <v>302159.2232399999</v>
      </c>
      <c r="G135" s="85">
        <f>+'Project Assumptions'!$D40/'Sensitivity 2'!$D$6*'Sensitivity 2'!$G$6*'Project Assumptions'!$E40*'Project Assumptions'!K40*(1+'Sensitivity 2'!$D$5)^'Government Impact_baseline'!G$3*'Sensitivity 2'!$D$13</f>
        <v>1226766.4463543994</v>
      </c>
      <c r="H135" s="85">
        <f t="shared" si="202"/>
        <v>0</v>
      </c>
      <c r="I135" s="85">
        <f t="shared" si="202"/>
        <v>0</v>
      </c>
      <c r="J135" s="85">
        <f t="shared" si="202"/>
        <v>0</v>
      </c>
      <c r="K135" s="85">
        <f t="shared" si="202"/>
        <v>0</v>
      </c>
      <c r="L135" s="85">
        <f t="shared" si="202"/>
        <v>0</v>
      </c>
      <c r="M135" s="85">
        <f t="shared" si="202"/>
        <v>0</v>
      </c>
      <c r="N135" s="85">
        <f t="shared" si="202"/>
        <v>0</v>
      </c>
      <c r="O135" s="85">
        <f t="shared" si="202"/>
        <v>0</v>
      </c>
      <c r="P135" s="85">
        <f>+'Project Assumptions'!$D40/'Sensitivity 2'!$D$6*'Sensitivity 2'!$G$6*'Project Assumptions'!$E40*'Project Assumptions'!M40*(1+'Sensitivity 2'!$D$5)^'Government Impact_baseline'!O$3*'Sensitivity 2'!$D$13</f>
        <v>345485.82682552468</v>
      </c>
      <c r="Q135" s="85">
        <f>+'Project Assumptions'!$D40/'Sensitivity 2'!$D$6*'Sensitivity 2'!$G$6*'Project Assumptions'!$E40*'Project Assumptions'!N40*(1+'Sensitivity 2'!$D$5)^'Government Impact_baseline'!P$3*'Sensitivity 2'!$D$13</f>
        <v>1402672.45691163</v>
      </c>
      <c r="R135" s="85">
        <f t="shared" ref="R135:AA135" si="207">R16</f>
        <v>0</v>
      </c>
      <c r="S135" s="85">
        <f t="shared" si="207"/>
        <v>0</v>
      </c>
      <c r="T135" s="85">
        <f t="shared" si="207"/>
        <v>0</v>
      </c>
      <c r="U135" s="85">
        <f t="shared" si="207"/>
        <v>0</v>
      </c>
      <c r="V135" s="85">
        <f t="shared" si="207"/>
        <v>0</v>
      </c>
      <c r="W135" s="85">
        <f t="shared" si="207"/>
        <v>0</v>
      </c>
      <c r="X135" s="85">
        <f t="shared" si="207"/>
        <v>0</v>
      </c>
      <c r="Y135" s="85">
        <f t="shared" si="207"/>
        <v>0</v>
      </c>
      <c r="Z135" s="85">
        <f t="shared" si="207"/>
        <v>0</v>
      </c>
      <c r="AA135" s="85">
        <f t="shared" si="207"/>
        <v>0</v>
      </c>
    </row>
    <row r="136" spans="2:27" hidden="1" x14ac:dyDescent="0.35">
      <c r="B136" s="3" t="s">
        <v>122</v>
      </c>
      <c r="C136" s="83">
        <f t="shared" ref="C136:E136" si="208">C137+C138</f>
        <v>1875000</v>
      </c>
      <c r="D136" s="83">
        <f t="shared" si="208"/>
        <v>2471524.9999999995</v>
      </c>
      <c r="E136" s="83">
        <f t="shared" si="208"/>
        <v>4422240.8124999991</v>
      </c>
      <c r="F136" s="83">
        <f t="shared" ref="F136" si="209">F137+F138</f>
        <v>5668204.1995249977</v>
      </c>
      <c r="G136" s="83">
        <f t="shared" ref="G136" si="210">G137+G138</f>
        <v>3930972.1824498107</v>
      </c>
      <c r="H136" s="83">
        <f t="shared" ref="H136" si="211">H137+H138</f>
        <v>0</v>
      </c>
      <c r="I136" s="83">
        <f t="shared" ref="I136" si="212">I137+I138</f>
        <v>0</v>
      </c>
      <c r="J136" s="83">
        <f t="shared" ref="J136" si="213">J137+J138</f>
        <v>0</v>
      </c>
      <c r="K136" s="83">
        <f t="shared" ref="K136" si="214">K137+K138</f>
        <v>0</v>
      </c>
      <c r="L136" s="83">
        <f t="shared" ref="L136" si="215">L137+L138</f>
        <v>0</v>
      </c>
      <c r="M136" s="83">
        <f t="shared" ref="M136" si="216">M137+M138</f>
        <v>0</v>
      </c>
      <c r="N136" s="83">
        <f t="shared" ref="N136" si="217">N137+N138</f>
        <v>0</v>
      </c>
      <c r="O136" s="83">
        <f t="shared" ref="O136" si="218">O137+O138</f>
        <v>0</v>
      </c>
      <c r="P136" s="83">
        <f t="shared" ref="P136" si="219">P137+P138</f>
        <v>0</v>
      </c>
      <c r="Q136" s="83">
        <f t="shared" ref="Q136" si="220">Q137+Q138</f>
        <v>0</v>
      </c>
      <c r="R136" s="83">
        <f t="shared" ref="R136" si="221">R137+R138</f>
        <v>0</v>
      </c>
      <c r="S136" s="83">
        <f t="shared" ref="S136" si="222">S137+S138</f>
        <v>0</v>
      </c>
      <c r="T136" s="83">
        <f t="shared" ref="T136" si="223">T137+T138</f>
        <v>0</v>
      </c>
      <c r="U136" s="83">
        <f t="shared" ref="U136" si="224">U137+U138</f>
        <v>0</v>
      </c>
      <c r="V136" s="83">
        <f t="shared" ref="V136" si="225">V137+V138</f>
        <v>0</v>
      </c>
      <c r="W136" s="83">
        <f t="shared" ref="W136" si="226">W137+W138</f>
        <v>0</v>
      </c>
      <c r="X136" s="83">
        <f t="shared" ref="X136" si="227">X137+X138</f>
        <v>0</v>
      </c>
      <c r="Y136" s="83">
        <f t="shared" ref="Y136" si="228">Y137+Y138</f>
        <v>0</v>
      </c>
      <c r="Z136" s="83">
        <f t="shared" ref="Z136" si="229">Z137+Z138</f>
        <v>0</v>
      </c>
      <c r="AA136" s="83">
        <f t="shared" ref="AA136" si="230">AA137+AA138</f>
        <v>0</v>
      </c>
    </row>
    <row r="137" spans="2:27" hidden="1" x14ac:dyDescent="0.35">
      <c r="B137" s="69" t="s">
        <v>100</v>
      </c>
      <c r="C137" s="85">
        <f t="shared" ref="C137:AA137" si="231">C18</f>
        <v>1875000</v>
      </c>
      <c r="D137" s="85">
        <f t="shared" si="231"/>
        <v>0</v>
      </c>
      <c r="E137" s="85">
        <f t="shared" si="231"/>
        <v>0</v>
      </c>
      <c r="F137" s="85">
        <f t="shared" si="231"/>
        <v>0</v>
      </c>
      <c r="G137" s="85">
        <f t="shared" si="231"/>
        <v>0</v>
      </c>
      <c r="H137" s="85">
        <f t="shared" si="231"/>
        <v>0</v>
      </c>
      <c r="I137" s="85">
        <f t="shared" si="231"/>
        <v>0</v>
      </c>
      <c r="J137" s="85">
        <f t="shared" si="231"/>
        <v>0</v>
      </c>
      <c r="K137" s="85">
        <f t="shared" si="231"/>
        <v>0</v>
      </c>
      <c r="L137" s="85">
        <f t="shared" si="231"/>
        <v>0</v>
      </c>
      <c r="M137" s="85">
        <f t="shared" si="231"/>
        <v>0</v>
      </c>
      <c r="N137" s="85">
        <f t="shared" si="231"/>
        <v>0</v>
      </c>
      <c r="O137" s="85">
        <f t="shared" si="231"/>
        <v>0</v>
      </c>
      <c r="P137" s="85">
        <f t="shared" si="231"/>
        <v>0</v>
      </c>
      <c r="Q137" s="85">
        <f t="shared" si="231"/>
        <v>0</v>
      </c>
      <c r="R137" s="85">
        <f t="shared" si="231"/>
        <v>0</v>
      </c>
      <c r="S137" s="85">
        <f t="shared" si="231"/>
        <v>0</v>
      </c>
      <c r="T137" s="85">
        <f t="shared" si="231"/>
        <v>0</v>
      </c>
      <c r="U137" s="85">
        <f t="shared" si="231"/>
        <v>0</v>
      </c>
      <c r="V137" s="85">
        <f t="shared" si="231"/>
        <v>0</v>
      </c>
      <c r="W137" s="85">
        <f t="shared" si="231"/>
        <v>0</v>
      </c>
      <c r="X137" s="85">
        <f t="shared" si="231"/>
        <v>0</v>
      </c>
      <c r="Y137" s="85">
        <f t="shared" si="231"/>
        <v>0</v>
      </c>
      <c r="Z137" s="85">
        <f t="shared" si="231"/>
        <v>0</v>
      </c>
      <c r="AA137" s="85">
        <f t="shared" si="231"/>
        <v>0</v>
      </c>
    </row>
    <row r="138" spans="2:27" hidden="1" collapsed="1" x14ac:dyDescent="0.35">
      <c r="B138" s="69" t="s">
        <v>103</v>
      </c>
      <c r="C138" s="85">
        <f t="shared" ref="C138:E138" si="232">+SUM(C139:C150)</f>
        <v>0</v>
      </c>
      <c r="D138" s="85">
        <f t="shared" si="232"/>
        <v>2471524.9999999995</v>
      </c>
      <c r="E138" s="85">
        <f t="shared" si="232"/>
        <v>4422240.8124999991</v>
      </c>
      <c r="F138" s="85">
        <f t="shared" ref="F138" si="233">+SUM(F139:F150)</f>
        <v>5668204.1995249977</v>
      </c>
      <c r="G138" s="85">
        <f t="shared" ref="G138" si="234">+SUM(G139:G150)</f>
        <v>3930972.1824498107</v>
      </c>
      <c r="H138" s="85">
        <f t="shared" ref="H138" si="235">+SUM(H139:H150)</f>
        <v>0</v>
      </c>
      <c r="I138" s="85">
        <f t="shared" ref="I138" si="236">+SUM(I139:I150)</f>
        <v>0</v>
      </c>
      <c r="J138" s="85">
        <f t="shared" ref="J138" si="237">+SUM(J139:J150)</f>
        <v>0</v>
      </c>
      <c r="K138" s="85">
        <f t="shared" ref="K138" si="238">+SUM(K139:K150)</f>
        <v>0</v>
      </c>
      <c r="L138" s="85">
        <f t="shared" ref="L138" si="239">+SUM(L139:L150)</f>
        <v>0</v>
      </c>
      <c r="M138" s="85">
        <f t="shared" ref="M138" si="240">+SUM(M139:M150)</f>
        <v>0</v>
      </c>
      <c r="N138" s="85">
        <f t="shared" ref="N138" si="241">+SUM(N139:N150)</f>
        <v>0</v>
      </c>
      <c r="O138" s="85">
        <f t="shared" ref="O138" si="242">+SUM(O139:O150)</f>
        <v>0</v>
      </c>
      <c r="P138" s="85">
        <f t="shared" ref="P138" si="243">+SUM(P139:P150)</f>
        <v>0</v>
      </c>
      <c r="Q138" s="85">
        <f t="shared" ref="Q138" si="244">+SUM(Q139:Q150)</f>
        <v>0</v>
      </c>
      <c r="R138" s="85">
        <f t="shared" ref="R138" si="245">+SUM(R139:R150)</f>
        <v>0</v>
      </c>
      <c r="S138" s="85">
        <f t="shared" ref="S138" si="246">+SUM(S139:S150)</f>
        <v>0</v>
      </c>
      <c r="T138" s="85">
        <f t="shared" ref="T138" si="247">+SUM(T139:T150)</f>
        <v>0</v>
      </c>
      <c r="U138" s="85">
        <f t="shared" ref="U138" si="248">+SUM(U139:U150)</f>
        <v>0</v>
      </c>
      <c r="V138" s="85">
        <f t="shared" ref="V138" si="249">+SUM(V139:V150)</f>
        <v>0</v>
      </c>
      <c r="W138" s="85">
        <f t="shared" ref="W138" si="250">+SUM(W139:W150)</f>
        <v>0</v>
      </c>
      <c r="X138" s="85">
        <f t="shared" ref="X138" si="251">+SUM(X139:X150)</f>
        <v>0</v>
      </c>
      <c r="Y138" s="85">
        <f t="shared" ref="Y138" si="252">+SUM(Y139:Y150)</f>
        <v>0</v>
      </c>
      <c r="Z138" s="85">
        <f t="shared" ref="Z138" si="253">+SUM(Z139:Z150)</f>
        <v>0</v>
      </c>
      <c r="AA138" s="85">
        <f t="shared" ref="AA138" si="254">+SUM(AA139:AA150)</f>
        <v>0</v>
      </c>
    </row>
    <row r="139" spans="2:27" hidden="1" outlineLevel="1" x14ac:dyDescent="0.35">
      <c r="B139" s="126" t="s">
        <v>14</v>
      </c>
      <c r="C139" s="85">
        <f t="shared" ref="C139:AA139" si="255">C20</f>
        <v>0</v>
      </c>
      <c r="D139" s="85">
        <f t="shared" si="255"/>
        <v>2029999.9999999998</v>
      </c>
      <c r="E139" s="85">
        <f t="shared" si="255"/>
        <v>0</v>
      </c>
      <c r="F139" s="85">
        <f t="shared" si="255"/>
        <v>0</v>
      </c>
      <c r="G139" s="85">
        <f t="shared" si="255"/>
        <v>0</v>
      </c>
      <c r="H139" s="85">
        <f t="shared" si="255"/>
        <v>0</v>
      </c>
      <c r="I139" s="85">
        <f t="shared" si="255"/>
        <v>0</v>
      </c>
      <c r="J139" s="85">
        <f t="shared" si="255"/>
        <v>0</v>
      </c>
      <c r="K139" s="85">
        <f t="shared" si="255"/>
        <v>0</v>
      </c>
      <c r="L139" s="85">
        <f t="shared" si="255"/>
        <v>0</v>
      </c>
      <c r="M139" s="85">
        <f t="shared" si="255"/>
        <v>0</v>
      </c>
      <c r="N139" s="85">
        <f t="shared" si="255"/>
        <v>0</v>
      </c>
      <c r="O139" s="85">
        <f t="shared" si="255"/>
        <v>0</v>
      </c>
      <c r="P139" s="85">
        <f t="shared" si="255"/>
        <v>0</v>
      </c>
      <c r="Q139" s="85">
        <f t="shared" si="255"/>
        <v>0</v>
      </c>
      <c r="R139" s="85">
        <f t="shared" si="255"/>
        <v>0</v>
      </c>
      <c r="S139" s="85">
        <f t="shared" si="255"/>
        <v>0</v>
      </c>
      <c r="T139" s="85">
        <f t="shared" si="255"/>
        <v>0</v>
      </c>
      <c r="U139" s="85">
        <f t="shared" si="255"/>
        <v>0</v>
      </c>
      <c r="V139" s="85">
        <f t="shared" si="255"/>
        <v>0</v>
      </c>
      <c r="W139" s="85">
        <f t="shared" si="255"/>
        <v>0</v>
      </c>
      <c r="X139" s="85">
        <f t="shared" si="255"/>
        <v>0</v>
      </c>
      <c r="Y139" s="85">
        <f t="shared" si="255"/>
        <v>0</v>
      </c>
      <c r="Z139" s="85">
        <f t="shared" si="255"/>
        <v>0</v>
      </c>
      <c r="AA139" s="85">
        <f t="shared" si="255"/>
        <v>0</v>
      </c>
    </row>
    <row r="140" spans="2:27" hidden="1" outlineLevel="1" x14ac:dyDescent="0.35">
      <c r="B140" s="126" t="s">
        <v>15</v>
      </c>
      <c r="C140" s="85">
        <f t="shared" ref="C140:AA140" si="256">C21</f>
        <v>0</v>
      </c>
      <c r="D140" s="85">
        <f t="shared" si="256"/>
        <v>30449.999999999996</v>
      </c>
      <c r="E140" s="85">
        <f t="shared" si="256"/>
        <v>30906.749999999993</v>
      </c>
      <c r="F140" s="85">
        <f t="shared" si="256"/>
        <v>0</v>
      </c>
      <c r="G140" s="85">
        <f t="shared" si="256"/>
        <v>0</v>
      </c>
      <c r="H140" s="85">
        <f t="shared" si="256"/>
        <v>0</v>
      </c>
      <c r="I140" s="85">
        <f t="shared" si="256"/>
        <v>0</v>
      </c>
      <c r="J140" s="85">
        <f t="shared" si="256"/>
        <v>0</v>
      </c>
      <c r="K140" s="85">
        <f t="shared" si="256"/>
        <v>0</v>
      </c>
      <c r="L140" s="85">
        <f t="shared" si="256"/>
        <v>0</v>
      </c>
      <c r="M140" s="85">
        <f t="shared" si="256"/>
        <v>0</v>
      </c>
      <c r="N140" s="85">
        <f t="shared" si="256"/>
        <v>0</v>
      </c>
      <c r="O140" s="85">
        <f t="shared" si="256"/>
        <v>0</v>
      </c>
      <c r="P140" s="85">
        <f t="shared" si="256"/>
        <v>0</v>
      </c>
      <c r="Q140" s="85">
        <f t="shared" si="256"/>
        <v>0</v>
      </c>
      <c r="R140" s="85">
        <f t="shared" si="256"/>
        <v>0</v>
      </c>
      <c r="S140" s="85">
        <f t="shared" si="256"/>
        <v>0</v>
      </c>
      <c r="T140" s="85">
        <f t="shared" si="256"/>
        <v>0</v>
      </c>
      <c r="U140" s="85">
        <f t="shared" si="256"/>
        <v>0</v>
      </c>
      <c r="V140" s="85">
        <f t="shared" si="256"/>
        <v>0</v>
      </c>
      <c r="W140" s="85">
        <f t="shared" si="256"/>
        <v>0</v>
      </c>
      <c r="X140" s="85">
        <f t="shared" si="256"/>
        <v>0</v>
      </c>
      <c r="Y140" s="85">
        <f t="shared" si="256"/>
        <v>0</v>
      </c>
      <c r="Z140" s="85">
        <f t="shared" si="256"/>
        <v>0</v>
      </c>
      <c r="AA140" s="85">
        <f t="shared" si="256"/>
        <v>0</v>
      </c>
    </row>
    <row r="141" spans="2:27" hidden="1" outlineLevel="1" x14ac:dyDescent="0.35">
      <c r="B141" s="126" t="s">
        <v>32</v>
      </c>
      <c r="C141" s="85">
        <f t="shared" ref="C141:AA141" si="257">C22</f>
        <v>0</v>
      </c>
      <c r="D141" s="85">
        <f t="shared" si="257"/>
        <v>411074.99999999994</v>
      </c>
      <c r="E141" s="85">
        <f t="shared" si="257"/>
        <v>1808044.8749999995</v>
      </c>
      <c r="F141" s="85">
        <f t="shared" si="257"/>
        <v>564666.32249999978</v>
      </c>
      <c r="G141" s="85">
        <f t="shared" si="257"/>
        <v>0</v>
      </c>
      <c r="H141" s="85">
        <f t="shared" si="257"/>
        <v>0</v>
      </c>
      <c r="I141" s="85">
        <f t="shared" si="257"/>
        <v>0</v>
      </c>
      <c r="J141" s="85">
        <f t="shared" si="257"/>
        <v>0</v>
      </c>
      <c r="K141" s="85">
        <f t="shared" si="257"/>
        <v>0</v>
      </c>
      <c r="L141" s="85">
        <f t="shared" si="257"/>
        <v>0</v>
      </c>
      <c r="M141" s="85">
        <f t="shared" si="257"/>
        <v>0</v>
      </c>
      <c r="N141" s="85">
        <f t="shared" si="257"/>
        <v>0</v>
      </c>
      <c r="O141" s="85">
        <f t="shared" si="257"/>
        <v>0</v>
      </c>
      <c r="P141" s="85">
        <f t="shared" si="257"/>
        <v>0</v>
      </c>
      <c r="Q141" s="85">
        <f t="shared" si="257"/>
        <v>0</v>
      </c>
      <c r="R141" s="85">
        <f t="shared" si="257"/>
        <v>0</v>
      </c>
      <c r="S141" s="85">
        <f t="shared" si="257"/>
        <v>0</v>
      </c>
      <c r="T141" s="85">
        <f t="shared" si="257"/>
        <v>0</v>
      </c>
      <c r="U141" s="85">
        <f t="shared" si="257"/>
        <v>0</v>
      </c>
      <c r="V141" s="85">
        <f t="shared" si="257"/>
        <v>0</v>
      </c>
      <c r="W141" s="85">
        <f t="shared" si="257"/>
        <v>0</v>
      </c>
      <c r="X141" s="85">
        <f t="shared" si="257"/>
        <v>0</v>
      </c>
      <c r="Y141" s="85">
        <f t="shared" si="257"/>
        <v>0</v>
      </c>
      <c r="Z141" s="85">
        <f t="shared" si="257"/>
        <v>0</v>
      </c>
      <c r="AA141" s="85">
        <f t="shared" si="257"/>
        <v>0</v>
      </c>
    </row>
    <row r="142" spans="2:27" hidden="1" outlineLevel="1" x14ac:dyDescent="0.35">
      <c r="B142" s="126" t="s">
        <v>31</v>
      </c>
      <c r="C142" s="85">
        <f t="shared" ref="C142:AA142" si="258">C23</f>
        <v>0</v>
      </c>
      <c r="D142" s="85">
        <f t="shared" si="258"/>
        <v>0</v>
      </c>
      <c r="E142" s="85">
        <f t="shared" si="258"/>
        <v>2511173.4374999995</v>
      </c>
      <c r="F142" s="85">
        <f t="shared" si="258"/>
        <v>4587913.870312498</v>
      </c>
      <c r="G142" s="85">
        <f t="shared" si="258"/>
        <v>3104488.3855781234</v>
      </c>
      <c r="H142" s="85">
        <f t="shared" si="258"/>
        <v>0</v>
      </c>
      <c r="I142" s="85">
        <f t="shared" si="258"/>
        <v>0</v>
      </c>
      <c r="J142" s="85">
        <f t="shared" si="258"/>
        <v>0</v>
      </c>
      <c r="K142" s="85">
        <f t="shared" si="258"/>
        <v>0</v>
      </c>
      <c r="L142" s="85">
        <f t="shared" si="258"/>
        <v>0</v>
      </c>
      <c r="M142" s="85">
        <f t="shared" si="258"/>
        <v>0</v>
      </c>
      <c r="N142" s="85">
        <f t="shared" si="258"/>
        <v>0</v>
      </c>
      <c r="O142" s="85">
        <f t="shared" si="258"/>
        <v>0</v>
      </c>
      <c r="P142" s="85">
        <f t="shared" si="258"/>
        <v>0</v>
      </c>
      <c r="Q142" s="85">
        <f t="shared" si="258"/>
        <v>0</v>
      </c>
      <c r="R142" s="85">
        <f t="shared" si="258"/>
        <v>0</v>
      </c>
      <c r="S142" s="85">
        <f t="shared" si="258"/>
        <v>0</v>
      </c>
      <c r="T142" s="85">
        <f t="shared" si="258"/>
        <v>0</v>
      </c>
      <c r="U142" s="85">
        <f t="shared" si="258"/>
        <v>0</v>
      </c>
      <c r="V142" s="85">
        <f t="shared" si="258"/>
        <v>0</v>
      </c>
      <c r="W142" s="85">
        <f t="shared" si="258"/>
        <v>0</v>
      </c>
      <c r="X142" s="85">
        <f t="shared" si="258"/>
        <v>0</v>
      </c>
      <c r="Y142" s="85">
        <f t="shared" si="258"/>
        <v>0</v>
      </c>
      <c r="Z142" s="85">
        <f t="shared" si="258"/>
        <v>0</v>
      </c>
      <c r="AA142" s="85">
        <f t="shared" si="258"/>
        <v>0</v>
      </c>
    </row>
    <row r="143" spans="2:27" hidden="1" outlineLevel="1" x14ac:dyDescent="0.35">
      <c r="B143" s="126" t="s">
        <v>35</v>
      </c>
      <c r="C143" s="85">
        <f t="shared" ref="C143:AA143" si="259">C24</f>
        <v>0</v>
      </c>
      <c r="D143" s="85">
        <f t="shared" si="259"/>
        <v>0</v>
      </c>
      <c r="E143" s="85">
        <f t="shared" si="259"/>
        <v>72115.749999999985</v>
      </c>
      <c r="F143" s="85">
        <f t="shared" si="259"/>
        <v>131755.47524999996</v>
      </c>
      <c r="G143" s="85">
        <f t="shared" si="259"/>
        <v>89154.538252499959</v>
      </c>
      <c r="H143" s="85">
        <f t="shared" si="259"/>
        <v>0</v>
      </c>
      <c r="I143" s="85">
        <f t="shared" si="259"/>
        <v>0</v>
      </c>
      <c r="J143" s="85">
        <f t="shared" si="259"/>
        <v>0</v>
      </c>
      <c r="K143" s="85">
        <f t="shared" si="259"/>
        <v>0</v>
      </c>
      <c r="L143" s="85">
        <f t="shared" si="259"/>
        <v>0</v>
      </c>
      <c r="M143" s="85">
        <f t="shared" si="259"/>
        <v>0</v>
      </c>
      <c r="N143" s="85">
        <f t="shared" si="259"/>
        <v>0</v>
      </c>
      <c r="O143" s="85">
        <f t="shared" si="259"/>
        <v>0</v>
      </c>
      <c r="P143" s="85">
        <f t="shared" si="259"/>
        <v>0</v>
      </c>
      <c r="Q143" s="85">
        <f t="shared" si="259"/>
        <v>0</v>
      </c>
      <c r="R143" s="85">
        <f t="shared" si="259"/>
        <v>0</v>
      </c>
      <c r="S143" s="85">
        <f t="shared" si="259"/>
        <v>0</v>
      </c>
      <c r="T143" s="85">
        <f t="shared" si="259"/>
        <v>0</v>
      </c>
      <c r="U143" s="85">
        <f t="shared" si="259"/>
        <v>0</v>
      </c>
      <c r="V143" s="85">
        <f t="shared" si="259"/>
        <v>0</v>
      </c>
      <c r="W143" s="85">
        <f t="shared" si="259"/>
        <v>0</v>
      </c>
      <c r="X143" s="85">
        <f t="shared" si="259"/>
        <v>0</v>
      </c>
      <c r="Y143" s="85">
        <f t="shared" si="259"/>
        <v>0</v>
      </c>
      <c r="Z143" s="85">
        <f t="shared" si="259"/>
        <v>0</v>
      </c>
      <c r="AA143" s="85">
        <f t="shared" si="259"/>
        <v>0</v>
      </c>
    </row>
    <row r="144" spans="2:27" hidden="1" outlineLevel="1" x14ac:dyDescent="0.35">
      <c r="B144" s="126" t="s">
        <v>29</v>
      </c>
      <c r="C144" s="85">
        <f t="shared" ref="C144:AA144" si="260">C25</f>
        <v>0</v>
      </c>
      <c r="D144" s="85">
        <f t="shared" si="260"/>
        <v>0</v>
      </c>
      <c r="E144" s="85">
        <f t="shared" si="260"/>
        <v>0</v>
      </c>
      <c r="F144" s="85">
        <f t="shared" si="260"/>
        <v>210808.76039999991</v>
      </c>
      <c r="G144" s="85">
        <f t="shared" si="260"/>
        <v>499265.4142139997</v>
      </c>
      <c r="H144" s="85">
        <f t="shared" si="260"/>
        <v>0</v>
      </c>
      <c r="I144" s="85">
        <f t="shared" si="260"/>
        <v>0</v>
      </c>
      <c r="J144" s="85">
        <f t="shared" si="260"/>
        <v>0</v>
      </c>
      <c r="K144" s="85">
        <f t="shared" si="260"/>
        <v>0</v>
      </c>
      <c r="L144" s="85">
        <f t="shared" si="260"/>
        <v>0</v>
      </c>
      <c r="M144" s="85">
        <f t="shared" si="260"/>
        <v>0</v>
      </c>
      <c r="N144" s="85">
        <f t="shared" si="260"/>
        <v>0</v>
      </c>
      <c r="O144" s="85">
        <f t="shared" si="260"/>
        <v>0</v>
      </c>
      <c r="P144" s="85">
        <f t="shared" si="260"/>
        <v>0</v>
      </c>
      <c r="Q144" s="85">
        <f t="shared" si="260"/>
        <v>0</v>
      </c>
      <c r="R144" s="85">
        <f t="shared" si="260"/>
        <v>0</v>
      </c>
      <c r="S144" s="85">
        <f t="shared" si="260"/>
        <v>0</v>
      </c>
      <c r="T144" s="85">
        <f t="shared" si="260"/>
        <v>0</v>
      </c>
      <c r="U144" s="85">
        <f t="shared" si="260"/>
        <v>0</v>
      </c>
      <c r="V144" s="85">
        <f t="shared" si="260"/>
        <v>0</v>
      </c>
      <c r="W144" s="85">
        <f t="shared" si="260"/>
        <v>0</v>
      </c>
      <c r="X144" s="85">
        <f t="shared" si="260"/>
        <v>0</v>
      </c>
      <c r="Y144" s="85">
        <f t="shared" si="260"/>
        <v>0</v>
      </c>
      <c r="Z144" s="85">
        <f t="shared" si="260"/>
        <v>0</v>
      </c>
      <c r="AA144" s="85">
        <f t="shared" si="260"/>
        <v>0</v>
      </c>
    </row>
    <row r="145" spans="1:27" hidden="1" outlineLevel="1" x14ac:dyDescent="0.35">
      <c r="B145" s="126" t="s">
        <v>30</v>
      </c>
      <c r="C145" s="85">
        <f t="shared" ref="C145:AA145" si="261">C26</f>
        <v>0</v>
      </c>
      <c r="D145" s="85">
        <f t="shared" si="261"/>
        <v>0</v>
      </c>
      <c r="E145" s="85">
        <f t="shared" si="261"/>
        <v>0</v>
      </c>
      <c r="F145" s="85">
        <f t="shared" si="261"/>
        <v>46009.848499999986</v>
      </c>
      <c r="G145" s="85">
        <f t="shared" si="261"/>
        <v>70049.994341249956</v>
      </c>
      <c r="H145" s="85">
        <f t="shared" si="261"/>
        <v>0</v>
      </c>
      <c r="I145" s="85">
        <f t="shared" si="261"/>
        <v>0</v>
      </c>
      <c r="J145" s="85">
        <f t="shared" si="261"/>
        <v>0</v>
      </c>
      <c r="K145" s="85">
        <f t="shared" si="261"/>
        <v>0</v>
      </c>
      <c r="L145" s="85">
        <f t="shared" si="261"/>
        <v>0</v>
      </c>
      <c r="M145" s="85">
        <f t="shared" si="261"/>
        <v>0</v>
      </c>
      <c r="N145" s="85">
        <f t="shared" si="261"/>
        <v>0</v>
      </c>
      <c r="O145" s="85">
        <f t="shared" si="261"/>
        <v>0</v>
      </c>
      <c r="P145" s="85">
        <f t="shared" si="261"/>
        <v>0</v>
      </c>
      <c r="Q145" s="85">
        <f t="shared" si="261"/>
        <v>0</v>
      </c>
      <c r="R145" s="85">
        <f t="shared" si="261"/>
        <v>0</v>
      </c>
      <c r="S145" s="85">
        <f t="shared" si="261"/>
        <v>0</v>
      </c>
      <c r="T145" s="85">
        <f t="shared" si="261"/>
        <v>0</v>
      </c>
      <c r="U145" s="85">
        <f t="shared" si="261"/>
        <v>0</v>
      </c>
      <c r="V145" s="85">
        <f t="shared" si="261"/>
        <v>0</v>
      </c>
      <c r="W145" s="85">
        <f t="shared" si="261"/>
        <v>0</v>
      </c>
      <c r="X145" s="85">
        <f t="shared" si="261"/>
        <v>0</v>
      </c>
      <c r="Y145" s="85">
        <f t="shared" si="261"/>
        <v>0</v>
      </c>
      <c r="Z145" s="85">
        <f t="shared" si="261"/>
        <v>0</v>
      </c>
      <c r="AA145" s="85">
        <f t="shared" si="261"/>
        <v>0</v>
      </c>
    </row>
    <row r="146" spans="1:27" hidden="1" outlineLevel="1" x14ac:dyDescent="0.35">
      <c r="B146" s="126" t="s">
        <v>21</v>
      </c>
      <c r="C146" s="85">
        <f t="shared" ref="C146:AA146" si="262">C27</f>
        <v>0</v>
      </c>
      <c r="D146" s="85">
        <f t="shared" si="262"/>
        <v>0</v>
      </c>
      <c r="E146" s="85">
        <f t="shared" si="262"/>
        <v>0</v>
      </c>
      <c r="F146" s="85">
        <f t="shared" si="262"/>
        <v>13802.954549999995</v>
      </c>
      <c r="G146" s="85">
        <f t="shared" si="262"/>
        <v>32689.997359249977</v>
      </c>
      <c r="H146" s="85">
        <f t="shared" si="262"/>
        <v>0</v>
      </c>
      <c r="I146" s="85">
        <f t="shared" si="262"/>
        <v>0</v>
      </c>
      <c r="J146" s="85">
        <f t="shared" si="262"/>
        <v>0</v>
      </c>
      <c r="K146" s="85">
        <f t="shared" si="262"/>
        <v>0</v>
      </c>
      <c r="L146" s="85">
        <f t="shared" si="262"/>
        <v>0</v>
      </c>
      <c r="M146" s="85">
        <f t="shared" si="262"/>
        <v>0</v>
      </c>
      <c r="N146" s="85">
        <f t="shared" si="262"/>
        <v>0</v>
      </c>
      <c r="O146" s="85">
        <f t="shared" si="262"/>
        <v>0</v>
      </c>
      <c r="P146" s="85">
        <f t="shared" si="262"/>
        <v>0</v>
      </c>
      <c r="Q146" s="85">
        <f t="shared" si="262"/>
        <v>0</v>
      </c>
      <c r="R146" s="85">
        <f t="shared" si="262"/>
        <v>0</v>
      </c>
      <c r="S146" s="85">
        <f t="shared" si="262"/>
        <v>0</v>
      </c>
      <c r="T146" s="85">
        <f t="shared" si="262"/>
        <v>0</v>
      </c>
      <c r="U146" s="85">
        <f t="shared" si="262"/>
        <v>0</v>
      </c>
      <c r="V146" s="85">
        <f t="shared" si="262"/>
        <v>0</v>
      </c>
      <c r="W146" s="85">
        <f t="shared" si="262"/>
        <v>0</v>
      </c>
      <c r="X146" s="85">
        <f t="shared" si="262"/>
        <v>0</v>
      </c>
      <c r="Y146" s="85">
        <f t="shared" si="262"/>
        <v>0</v>
      </c>
      <c r="Z146" s="85">
        <f t="shared" si="262"/>
        <v>0</v>
      </c>
      <c r="AA146" s="85">
        <f t="shared" si="262"/>
        <v>0</v>
      </c>
    </row>
    <row r="147" spans="1:27" hidden="1" outlineLevel="1" x14ac:dyDescent="0.35">
      <c r="B147" s="126" t="s">
        <v>33</v>
      </c>
      <c r="C147" s="85">
        <f t="shared" ref="C147:AA147" si="263">C28</f>
        <v>0</v>
      </c>
      <c r="D147" s="85">
        <f t="shared" si="263"/>
        <v>0</v>
      </c>
      <c r="E147" s="85">
        <f t="shared" si="263"/>
        <v>0</v>
      </c>
      <c r="F147" s="85">
        <f t="shared" si="263"/>
        <v>3764.4421499999985</v>
      </c>
      <c r="G147" s="85">
        <f t="shared" si="263"/>
        <v>8915.4538252499951</v>
      </c>
      <c r="H147" s="85">
        <f t="shared" si="263"/>
        <v>0</v>
      </c>
      <c r="I147" s="85">
        <f t="shared" si="263"/>
        <v>0</v>
      </c>
      <c r="J147" s="85">
        <f t="shared" si="263"/>
        <v>0</v>
      </c>
      <c r="K147" s="85">
        <f t="shared" si="263"/>
        <v>0</v>
      </c>
      <c r="L147" s="85">
        <f t="shared" si="263"/>
        <v>0</v>
      </c>
      <c r="M147" s="85">
        <f t="shared" si="263"/>
        <v>0</v>
      </c>
      <c r="N147" s="85">
        <f t="shared" si="263"/>
        <v>0</v>
      </c>
      <c r="O147" s="85">
        <f t="shared" si="263"/>
        <v>0</v>
      </c>
      <c r="P147" s="85">
        <f t="shared" si="263"/>
        <v>0</v>
      </c>
      <c r="Q147" s="85">
        <f t="shared" si="263"/>
        <v>0</v>
      </c>
      <c r="R147" s="85">
        <f t="shared" si="263"/>
        <v>0</v>
      </c>
      <c r="S147" s="85">
        <f t="shared" si="263"/>
        <v>0</v>
      </c>
      <c r="T147" s="85">
        <f t="shared" si="263"/>
        <v>0</v>
      </c>
      <c r="U147" s="85">
        <f t="shared" si="263"/>
        <v>0</v>
      </c>
      <c r="V147" s="85">
        <f t="shared" si="263"/>
        <v>0</v>
      </c>
      <c r="W147" s="85">
        <f t="shared" si="263"/>
        <v>0</v>
      </c>
      <c r="X147" s="85">
        <f t="shared" si="263"/>
        <v>0</v>
      </c>
      <c r="Y147" s="85">
        <f t="shared" si="263"/>
        <v>0</v>
      </c>
      <c r="Z147" s="85">
        <f t="shared" si="263"/>
        <v>0</v>
      </c>
      <c r="AA147" s="85">
        <f t="shared" si="263"/>
        <v>0</v>
      </c>
    </row>
    <row r="148" spans="1:27" hidden="1" outlineLevel="1" x14ac:dyDescent="0.35">
      <c r="B148" s="126" t="s">
        <v>34</v>
      </c>
      <c r="C148" s="85">
        <f t="shared" ref="C148:AA148" si="264">C29</f>
        <v>0</v>
      </c>
      <c r="D148" s="85">
        <f t="shared" si="264"/>
        <v>0</v>
      </c>
      <c r="E148" s="85">
        <f t="shared" si="264"/>
        <v>0</v>
      </c>
      <c r="F148" s="85">
        <f t="shared" si="264"/>
        <v>7528.884299999997</v>
      </c>
      <c r="G148" s="85">
        <f t="shared" si="264"/>
        <v>17830.90765049999</v>
      </c>
      <c r="H148" s="85">
        <f t="shared" si="264"/>
        <v>0</v>
      </c>
      <c r="I148" s="85">
        <f t="shared" si="264"/>
        <v>0</v>
      </c>
      <c r="J148" s="85">
        <f t="shared" si="264"/>
        <v>0</v>
      </c>
      <c r="K148" s="85">
        <f t="shared" si="264"/>
        <v>0</v>
      </c>
      <c r="L148" s="85">
        <f t="shared" si="264"/>
        <v>0</v>
      </c>
      <c r="M148" s="85">
        <f t="shared" si="264"/>
        <v>0</v>
      </c>
      <c r="N148" s="85">
        <f t="shared" si="264"/>
        <v>0</v>
      </c>
      <c r="O148" s="85">
        <f t="shared" si="264"/>
        <v>0</v>
      </c>
      <c r="P148" s="85">
        <f t="shared" si="264"/>
        <v>0</v>
      </c>
      <c r="Q148" s="85">
        <f t="shared" si="264"/>
        <v>0</v>
      </c>
      <c r="R148" s="85">
        <f t="shared" si="264"/>
        <v>0</v>
      </c>
      <c r="S148" s="85">
        <f t="shared" si="264"/>
        <v>0</v>
      </c>
      <c r="T148" s="85">
        <f t="shared" si="264"/>
        <v>0</v>
      </c>
      <c r="U148" s="85">
        <f t="shared" si="264"/>
        <v>0</v>
      </c>
      <c r="V148" s="85">
        <f t="shared" si="264"/>
        <v>0</v>
      </c>
      <c r="W148" s="85">
        <f t="shared" si="264"/>
        <v>0</v>
      </c>
      <c r="X148" s="85">
        <f t="shared" si="264"/>
        <v>0</v>
      </c>
      <c r="Y148" s="85">
        <f t="shared" si="264"/>
        <v>0</v>
      </c>
      <c r="Z148" s="85">
        <f t="shared" si="264"/>
        <v>0</v>
      </c>
      <c r="AA148" s="85">
        <f t="shared" si="264"/>
        <v>0</v>
      </c>
    </row>
    <row r="149" spans="1:27" hidden="1" outlineLevel="1" x14ac:dyDescent="0.35">
      <c r="B149" s="126" t="s">
        <v>38</v>
      </c>
      <c r="C149" s="85">
        <f t="shared" ref="C149:AA149" si="265">C30</f>
        <v>0</v>
      </c>
      <c r="D149" s="85">
        <f t="shared" si="265"/>
        <v>0</v>
      </c>
      <c r="E149" s="85">
        <f t="shared" si="265"/>
        <v>0</v>
      </c>
      <c r="F149" s="85">
        <f t="shared" si="265"/>
        <v>101953.64156249996</v>
      </c>
      <c r="G149" s="85">
        <f t="shared" si="265"/>
        <v>103482.94618593744</v>
      </c>
      <c r="H149" s="85">
        <f t="shared" si="265"/>
        <v>0</v>
      </c>
      <c r="I149" s="85">
        <f t="shared" si="265"/>
        <v>0</v>
      </c>
      <c r="J149" s="85">
        <f t="shared" si="265"/>
        <v>0</v>
      </c>
      <c r="K149" s="85">
        <f t="shared" si="265"/>
        <v>0</v>
      </c>
      <c r="L149" s="85">
        <f t="shared" si="265"/>
        <v>0</v>
      </c>
      <c r="M149" s="85">
        <f t="shared" si="265"/>
        <v>0</v>
      </c>
      <c r="N149" s="85">
        <f t="shared" si="265"/>
        <v>0</v>
      </c>
      <c r="O149" s="85">
        <f t="shared" si="265"/>
        <v>0</v>
      </c>
      <c r="P149" s="85">
        <f t="shared" si="265"/>
        <v>0</v>
      </c>
      <c r="Q149" s="85">
        <f t="shared" si="265"/>
        <v>0</v>
      </c>
      <c r="R149" s="85">
        <f t="shared" si="265"/>
        <v>0</v>
      </c>
      <c r="S149" s="85">
        <f t="shared" si="265"/>
        <v>0</v>
      </c>
      <c r="T149" s="85">
        <f t="shared" si="265"/>
        <v>0</v>
      </c>
      <c r="U149" s="85">
        <f t="shared" si="265"/>
        <v>0</v>
      </c>
      <c r="V149" s="85">
        <f t="shared" si="265"/>
        <v>0</v>
      </c>
      <c r="W149" s="85">
        <f t="shared" si="265"/>
        <v>0</v>
      </c>
      <c r="X149" s="85">
        <f t="shared" si="265"/>
        <v>0</v>
      </c>
      <c r="Y149" s="85">
        <f t="shared" si="265"/>
        <v>0</v>
      </c>
      <c r="Z149" s="85">
        <f t="shared" si="265"/>
        <v>0</v>
      </c>
      <c r="AA149" s="85">
        <f t="shared" si="265"/>
        <v>0</v>
      </c>
    </row>
    <row r="150" spans="1:27" hidden="1" outlineLevel="1" x14ac:dyDescent="0.35">
      <c r="B150" s="126" t="s">
        <v>50</v>
      </c>
      <c r="C150" s="85">
        <f t="shared" ref="C150:AA150" si="266">C31</f>
        <v>0</v>
      </c>
      <c r="D150" s="85">
        <f t="shared" si="266"/>
        <v>0</v>
      </c>
      <c r="E150" s="85">
        <f t="shared" si="266"/>
        <v>0</v>
      </c>
      <c r="F150" s="85">
        <f t="shared" si="266"/>
        <v>0</v>
      </c>
      <c r="G150" s="85">
        <f t="shared" si="266"/>
        <v>5094.5450429999973</v>
      </c>
      <c r="H150" s="85">
        <f t="shared" si="266"/>
        <v>0</v>
      </c>
      <c r="I150" s="85">
        <f t="shared" si="266"/>
        <v>0</v>
      </c>
      <c r="J150" s="85">
        <f t="shared" si="266"/>
        <v>0</v>
      </c>
      <c r="K150" s="85">
        <f t="shared" si="266"/>
        <v>0</v>
      </c>
      <c r="L150" s="85">
        <f t="shared" si="266"/>
        <v>0</v>
      </c>
      <c r="M150" s="85">
        <f t="shared" si="266"/>
        <v>0</v>
      </c>
      <c r="N150" s="85">
        <f t="shared" si="266"/>
        <v>0</v>
      </c>
      <c r="O150" s="85">
        <f t="shared" si="266"/>
        <v>0</v>
      </c>
      <c r="P150" s="85">
        <f t="shared" si="266"/>
        <v>0</v>
      </c>
      <c r="Q150" s="85">
        <f t="shared" si="266"/>
        <v>0</v>
      </c>
      <c r="R150" s="85">
        <f t="shared" si="266"/>
        <v>0</v>
      </c>
      <c r="S150" s="85">
        <f t="shared" si="266"/>
        <v>0</v>
      </c>
      <c r="T150" s="85">
        <f t="shared" si="266"/>
        <v>0</v>
      </c>
      <c r="U150" s="85">
        <f t="shared" si="266"/>
        <v>0</v>
      </c>
      <c r="V150" s="85">
        <f t="shared" si="266"/>
        <v>0</v>
      </c>
      <c r="W150" s="85">
        <f t="shared" si="266"/>
        <v>0</v>
      </c>
      <c r="X150" s="85">
        <f t="shared" si="266"/>
        <v>0</v>
      </c>
      <c r="Y150" s="85">
        <f t="shared" si="266"/>
        <v>0</v>
      </c>
      <c r="Z150" s="85">
        <f t="shared" si="266"/>
        <v>0</v>
      </c>
      <c r="AA150" s="85">
        <f t="shared" si="266"/>
        <v>0</v>
      </c>
    </row>
    <row r="151" spans="1:27" hidden="1" x14ac:dyDescent="0.35">
      <c r="B151" s="70" t="s">
        <v>123</v>
      </c>
      <c r="C151" s="88">
        <f t="shared" ref="C151:AA151" si="267">C123-C125-C136</f>
        <v>-1875000</v>
      </c>
      <c r="D151" s="88">
        <f t="shared" si="267"/>
        <v>-2659024.9999999995</v>
      </c>
      <c r="E151" s="88">
        <f t="shared" si="267"/>
        <v>-4856893.3124999991</v>
      </c>
      <c r="F151" s="88">
        <f t="shared" si="267"/>
        <v>-7178176.2961349972</v>
      </c>
      <c r="G151" s="88">
        <f t="shared" si="267"/>
        <v>-7945036.9760139091</v>
      </c>
      <c r="H151" s="88">
        <f t="shared" si="267"/>
        <v>-2476378.2078251997</v>
      </c>
      <c r="I151" s="88">
        <f t="shared" si="267"/>
        <v>-2399703.8266784917</v>
      </c>
      <c r="J151" s="88">
        <f t="shared" si="267"/>
        <v>-2323256.9254791681</v>
      </c>
      <c r="K151" s="88">
        <f t="shared" si="267"/>
        <v>-2247040.9164264407</v>
      </c>
      <c r="L151" s="88">
        <f t="shared" si="267"/>
        <v>-2171059.2629025076</v>
      </c>
      <c r="M151" s="88">
        <f t="shared" si="267"/>
        <v>-2095315.4802403012</v>
      </c>
      <c r="N151" s="88">
        <f t="shared" si="267"/>
        <v>-2019813.1365027474</v>
      </c>
      <c r="O151" s="88">
        <f t="shared" si="267"/>
        <v>-1944555.8532737158</v>
      </c>
      <c r="P151" s="88">
        <f t="shared" si="267"/>
        <v>-2472334.3721905053</v>
      </c>
      <c r="Q151" s="88">
        <f t="shared" si="267"/>
        <v>-4733723.9939728081</v>
      </c>
      <c r="R151" s="88">
        <f t="shared" si="267"/>
        <v>-1720291.4022341846</v>
      </c>
      <c r="S151" s="88">
        <f t="shared" si="267"/>
        <v>-1646051.6756494672</v>
      </c>
      <c r="T151" s="88">
        <f t="shared" si="267"/>
        <v>-1572075.9488305645</v>
      </c>
      <c r="U151" s="88">
        <f t="shared" si="267"/>
        <v>-1498368.1817739638</v>
      </c>
      <c r="V151" s="88">
        <f t="shared" si="267"/>
        <v>-1424932.3938761</v>
      </c>
      <c r="W151" s="88">
        <f t="shared" si="267"/>
        <v>-1351772.6648243535</v>
      </c>
      <c r="X151" s="88">
        <f t="shared" si="267"/>
        <v>-1278893.1355014166</v>
      </c>
      <c r="Y151" s="88">
        <f t="shared" si="267"/>
        <v>-1206298.0089032212</v>
      </c>
      <c r="Z151" s="88">
        <f t="shared" si="267"/>
        <v>-1133991.5510706385</v>
      </c>
      <c r="AA151" s="88">
        <f t="shared" si="267"/>
        <v>-1061978.041062779</v>
      </c>
    </row>
    <row r="152" spans="1:27" hidden="1" x14ac:dyDescent="0.35"/>
    <row r="153" spans="1:27" hidden="1" x14ac:dyDescent="0.35">
      <c r="B153" s="3" t="s">
        <v>144</v>
      </c>
    </row>
    <row r="154" spans="1:27" hidden="1" x14ac:dyDescent="0.35">
      <c r="B154" t="s">
        <v>148</v>
      </c>
      <c r="C154" s="127">
        <f t="shared" ref="C154" si="268">+C155-C157</f>
        <v>1875000</v>
      </c>
      <c r="D154" s="127">
        <f t="shared" ref="D154" si="269">+C154+D155-D157</f>
        <v>4346525</v>
      </c>
      <c r="E154" s="127">
        <f t="shared" ref="E154" si="270">+D154+E155-E157</f>
        <v>8768765.8125</v>
      </c>
      <c r="F154" s="127">
        <f t="shared" ref="F154" si="271">+E154+F155-F157</f>
        <v>14436970.012024999</v>
      </c>
      <c r="G154" s="127">
        <f t="shared" ref="G154" si="272">+F154+G155-G157</f>
        <v>18367942.194474809</v>
      </c>
      <c r="H154" s="127">
        <f t="shared" ref="H154" si="273">+G154+H155-H157</f>
        <v>17449545.08475107</v>
      </c>
      <c r="I154" s="127">
        <f t="shared" ref="I154" si="274">+H154+I155-I157</f>
        <v>16531147.975027328</v>
      </c>
      <c r="J154" s="127">
        <f t="shared" ref="J154" si="275">+I154+J155-J157</f>
        <v>15612750.865303587</v>
      </c>
      <c r="K154" s="127">
        <f t="shared" ref="K154" si="276">+J154+K155-K157</f>
        <v>14694353.755579846</v>
      </c>
      <c r="L154" s="127">
        <f t="shared" ref="L154" si="277">+K154+L155-L157</f>
        <v>13775956.645856105</v>
      </c>
      <c r="M154" s="127">
        <f t="shared" ref="M154" si="278">+L154+M155-M157</f>
        <v>12857559.536132364</v>
      </c>
      <c r="N154" s="127">
        <f t="shared" ref="N154" si="279">+M154+N155-N157</f>
        <v>11939162.426408622</v>
      </c>
      <c r="O154" s="127">
        <f t="shared" ref="O154" si="280">+N154+O155-O157</f>
        <v>11020765.316684881</v>
      </c>
      <c r="P154" s="127">
        <f t="shared" ref="P154" si="281">+O154+P155-P157</f>
        <v>10102368.20696114</v>
      </c>
      <c r="Q154" s="127">
        <f t="shared" ref="Q154" si="282">+P154+Q155-Q157</f>
        <v>9183971.0972373988</v>
      </c>
      <c r="R154" s="127">
        <f t="shared" ref="R154" si="283">+Q154+R155-R157</f>
        <v>8265573.9875136586</v>
      </c>
      <c r="S154" s="127">
        <f t="shared" ref="S154" si="284">+R154+S155-S157</f>
        <v>7347176.8777899183</v>
      </c>
      <c r="T154" s="127">
        <f t="shared" ref="T154" si="285">+S154+T155-T157</f>
        <v>6428779.7680661781</v>
      </c>
      <c r="U154" s="127">
        <f t="shared" ref="U154" si="286">+T154+U155-U157</f>
        <v>5510382.6583424378</v>
      </c>
      <c r="V154" s="127">
        <f t="shared" ref="V154" si="287">+U154+V155-V157</f>
        <v>4591985.5486186976</v>
      </c>
      <c r="W154" s="127">
        <f t="shared" ref="W154" si="288">+V154+W155-W157</f>
        <v>3673588.4388949573</v>
      </c>
      <c r="X154" s="127">
        <f t="shared" ref="X154" si="289">+W154+X155-X157</f>
        <v>2755191.329171217</v>
      </c>
      <c r="Y154" s="127">
        <f t="shared" ref="Y154" si="290">+X154+Y155-Y157</f>
        <v>1836794.2194474766</v>
      </c>
      <c r="Z154" s="127">
        <f>ROUND(Y154+Z155-Z157,1)</f>
        <v>918397.1</v>
      </c>
      <c r="AA154" s="127">
        <f>ROUND(Z154+AA155-AA157,1)</f>
        <v>0</v>
      </c>
    </row>
    <row r="155" spans="1:27" hidden="1" x14ac:dyDescent="0.35">
      <c r="B155" t="s">
        <v>142</v>
      </c>
      <c r="C155" s="127">
        <f t="shared" ref="C155:AA155" si="291">+C136</f>
        <v>1875000</v>
      </c>
      <c r="D155" s="127">
        <f t="shared" si="291"/>
        <v>2471524.9999999995</v>
      </c>
      <c r="E155" s="127">
        <f t="shared" si="291"/>
        <v>4422240.8124999991</v>
      </c>
      <c r="F155" s="127">
        <f t="shared" si="291"/>
        <v>5668204.1995249977</v>
      </c>
      <c r="G155" s="127">
        <f t="shared" si="291"/>
        <v>3930972.1824498107</v>
      </c>
      <c r="H155" s="127">
        <f t="shared" si="291"/>
        <v>0</v>
      </c>
      <c r="I155" s="127">
        <f t="shared" si="291"/>
        <v>0</v>
      </c>
      <c r="J155" s="127">
        <f t="shared" si="291"/>
        <v>0</v>
      </c>
      <c r="K155" s="127">
        <f t="shared" si="291"/>
        <v>0</v>
      </c>
      <c r="L155" s="127">
        <f t="shared" si="291"/>
        <v>0</v>
      </c>
      <c r="M155" s="127">
        <f t="shared" si="291"/>
        <v>0</v>
      </c>
      <c r="N155" s="127">
        <f t="shared" si="291"/>
        <v>0</v>
      </c>
      <c r="O155" s="127">
        <f t="shared" si="291"/>
        <v>0</v>
      </c>
      <c r="P155" s="127">
        <f t="shared" si="291"/>
        <v>0</v>
      </c>
      <c r="Q155" s="127">
        <f t="shared" si="291"/>
        <v>0</v>
      </c>
      <c r="R155" s="127">
        <f t="shared" si="291"/>
        <v>0</v>
      </c>
      <c r="S155" s="127">
        <f t="shared" si="291"/>
        <v>0</v>
      </c>
      <c r="T155" s="127">
        <f t="shared" si="291"/>
        <v>0</v>
      </c>
      <c r="U155" s="127">
        <f t="shared" si="291"/>
        <v>0</v>
      </c>
      <c r="V155" s="127">
        <f t="shared" si="291"/>
        <v>0</v>
      </c>
      <c r="W155" s="127">
        <f t="shared" si="291"/>
        <v>0</v>
      </c>
      <c r="X155" s="127">
        <f t="shared" si="291"/>
        <v>0</v>
      </c>
      <c r="Y155" s="127">
        <f t="shared" si="291"/>
        <v>0</v>
      </c>
      <c r="Z155" s="127">
        <f t="shared" si="291"/>
        <v>0</v>
      </c>
      <c r="AA155" s="127">
        <f t="shared" si="291"/>
        <v>0</v>
      </c>
    </row>
    <row r="156" spans="1:27" hidden="1" x14ac:dyDescent="0.35">
      <c r="B156" t="s">
        <v>145</v>
      </c>
      <c r="C156" s="127">
        <v>0</v>
      </c>
      <c r="D156" s="127">
        <f>+C154*'Sensitivity 2'!$D$3</f>
        <v>187500</v>
      </c>
      <c r="E156" s="127">
        <f>+D154*'Sensitivity 2'!$D$3</f>
        <v>434652.5</v>
      </c>
      <c r="F156" s="127">
        <f>+E154*'Sensitivity 2'!$D$3</f>
        <v>876876.58125000005</v>
      </c>
      <c r="G156" s="127">
        <f>+F154*'Sensitivity 2'!$D$3</f>
        <v>1443697.0012025</v>
      </c>
      <c r="H156" s="127">
        <f>+G154*'Sensitivity 2'!$D$3</f>
        <v>1836794.219447481</v>
      </c>
      <c r="I156" s="127">
        <f>+H154*'Sensitivity 2'!$D$3</f>
        <v>1744954.5084751071</v>
      </c>
      <c r="J156" s="127">
        <f>+I154*'Sensitivity 2'!$D$3</f>
        <v>1653114.7975027328</v>
      </c>
      <c r="K156" s="127">
        <f>+J154*'Sensitivity 2'!$D$3</f>
        <v>1561275.0865303588</v>
      </c>
      <c r="L156" s="127">
        <f>+K154*'Sensitivity 2'!$D$3</f>
        <v>1469435.3755579847</v>
      </c>
      <c r="M156" s="127">
        <f>+L154*'Sensitivity 2'!$D$3</f>
        <v>1377595.6645856106</v>
      </c>
      <c r="N156" s="127">
        <f>+M154*'Sensitivity 2'!$D$3</f>
        <v>1285755.9536132365</v>
      </c>
      <c r="O156" s="127">
        <f>+N154*'Sensitivity 2'!$D$3</f>
        <v>1193916.2426408622</v>
      </c>
      <c r="P156" s="127">
        <f>+O154*'Sensitivity 2'!$D$3</f>
        <v>1102076.5316684882</v>
      </c>
      <c r="Q156" s="127">
        <f>+P154*'Sensitivity 2'!$D$3</f>
        <v>1010236.8206961141</v>
      </c>
      <c r="R156" s="127">
        <f>+Q154*'Sensitivity 2'!$D$3</f>
        <v>918397.10972373991</v>
      </c>
      <c r="S156" s="127">
        <f>+R154*'Sensitivity 2'!$D$3</f>
        <v>826557.39875136595</v>
      </c>
      <c r="T156" s="127">
        <f>+S154*'Sensitivity 2'!$D$3</f>
        <v>734717.68777899188</v>
      </c>
      <c r="U156" s="127">
        <f>+T154*'Sensitivity 2'!$D$3</f>
        <v>642877.97680661781</v>
      </c>
      <c r="V156" s="127">
        <f>+U154*'Sensitivity 2'!$D$3</f>
        <v>551038.26583424385</v>
      </c>
      <c r="W156" s="127">
        <f>+V154*'Sensitivity 2'!$D$3</f>
        <v>459198.55486186978</v>
      </c>
      <c r="X156" s="127">
        <f>+W154*'Sensitivity 2'!$D$3</f>
        <v>367358.84388949577</v>
      </c>
      <c r="Y156" s="127">
        <f>+X154*'Sensitivity 2'!$D$3</f>
        <v>275519.13291712169</v>
      </c>
      <c r="Z156" s="127">
        <f>+Y154*'Sensitivity 2'!$D$3</f>
        <v>183679.42194474768</v>
      </c>
      <c r="AA156" s="127">
        <f>+Z154*'Sensitivity 2'!$D$3</f>
        <v>91839.71</v>
      </c>
    </row>
    <row r="157" spans="1:27" hidden="1" x14ac:dyDescent="0.35">
      <c r="B157" t="s">
        <v>147</v>
      </c>
      <c r="C157" s="127">
        <v>0</v>
      </c>
      <c r="D157" s="127">
        <v>0</v>
      </c>
      <c r="E157" s="127">
        <v>0</v>
      </c>
      <c r="F157" s="127">
        <v>0</v>
      </c>
      <c r="G157" s="127">
        <v>0</v>
      </c>
      <c r="H157" s="127">
        <f t="shared" ref="H157" si="292">+G154/20</f>
        <v>918397.10972374049</v>
      </c>
      <c r="I157" s="127">
        <f t="shared" ref="I157" si="293">+H157</f>
        <v>918397.10972374049</v>
      </c>
      <c r="J157" s="127">
        <f t="shared" ref="J157" si="294">+I157</f>
        <v>918397.10972374049</v>
      </c>
      <c r="K157" s="127">
        <f t="shared" ref="K157" si="295">+J157</f>
        <v>918397.10972374049</v>
      </c>
      <c r="L157" s="127">
        <f t="shared" ref="L157" si="296">+K157</f>
        <v>918397.10972374049</v>
      </c>
      <c r="M157" s="127">
        <f t="shared" ref="M157" si="297">+L157</f>
        <v>918397.10972374049</v>
      </c>
      <c r="N157" s="127">
        <f t="shared" ref="N157" si="298">+M157</f>
        <v>918397.10972374049</v>
      </c>
      <c r="O157" s="127">
        <f t="shared" ref="O157" si="299">+N157</f>
        <v>918397.10972374049</v>
      </c>
      <c r="P157" s="127">
        <f t="shared" ref="P157" si="300">+O157</f>
        <v>918397.10972374049</v>
      </c>
      <c r="Q157" s="127">
        <f t="shared" ref="Q157" si="301">+P157</f>
        <v>918397.10972374049</v>
      </c>
      <c r="R157" s="127">
        <f t="shared" ref="R157" si="302">+Q157</f>
        <v>918397.10972374049</v>
      </c>
      <c r="S157" s="127">
        <f t="shared" ref="S157" si="303">+R157</f>
        <v>918397.10972374049</v>
      </c>
      <c r="T157" s="127">
        <f t="shared" ref="T157" si="304">+S157</f>
        <v>918397.10972374049</v>
      </c>
      <c r="U157" s="127">
        <f t="shared" ref="U157" si="305">+T157</f>
        <v>918397.10972374049</v>
      </c>
      <c r="V157" s="127">
        <f t="shared" ref="V157" si="306">+U157</f>
        <v>918397.10972374049</v>
      </c>
      <c r="W157" s="127">
        <f t="shared" ref="W157" si="307">+V157</f>
        <v>918397.10972374049</v>
      </c>
      <c r="X157" s="127">
        <f t="shared" ref="X157" si="308">+W157</f>
        <v>918397.10972374049</v>
      </c>
      <c r="Y157" s="127">
        <f t="shared" ref="Y157" si="309">+X157</f>
        <v>918397.10972374049</v>
      </c>
      <c r="Z157" s="127">
        <f t="shared" ref="Z157" si="310">+Y157</f>
        <v>918397.10972374049</v>
      </c>
      <c r="AA157" s="127">
        <f t="shared" ref="AA157" si="311">+Z157</f>
        <v>918397.10972374049</v>
      </c>
    </row>
    <row r="158" spans="1:27" hidden="1" x14ac:dyDescent="0.35">
      <c r="B158" t="s">
        <v>141</v>
      </c>
      <c r="C158" s="127">
        <f t="shared" ref="C158:AA158" si="312">+C156+C157</f>
        <v>0</v>
      </c>
      <c r="D158" s="127">
        <f t="shared" si="312"/>
        <v>187500</v>
      </c>
      <c r="E158" s="127">
        <f t="shared" si="312"/>
        <v>434652.5</v>
      </c>
      <c r="F158" s="127">
        <f t="shared" si="312"/>
        <v>876876.58125000005</v>
      </c>
      <c r="G158" s="127">
        <f t="shared" si="312"/>
        <v>1443697.0012025</v>
      </c>
      <c r="H158" s="127">
        <f t="shared" si="312"/>
        <v>2755191.3291712217</v>
      </c>
      <c r="I158" s="127">
        <f t="shared" si="312"/>
        <v>2663351.6181988474</v>
      </c>
      <c r="J158" s="127">
        <f t="shared" si="312"/>
        <v>2571511.9072264731</v>
      </c>
      <c r="K158" s="127">
        <f t="shared" si="312"/>
        <v>2479672.1962540993</v>
      </c>
      <c r="L158" s="127">
        <f t="shared" si="312"/>
        <v>2387832.4852817254</v>
      </c>
      <c r="M158" s="127">
        <f t="shared" si="312"/>
        <v>2295992.7743093511</v>
      </c>
      <c r="N158" s="127">
        <f t="shared" si="312"/>
        <v>2204153.0633369768</v>
      </c>
      <c r="O158" s="127">
        <f t="shared" si="312"/>
        <v>2112313.3523646025</v>
      </c>
      <c r="P158" s="127">
        <f t="shared" si="312"/>
        <v>2020473.6413922287</v>
      </c>
      <c r="Q158" s="127">
        <f t="shared" si="312"/>
        <v>1928633.9304198546</v>
      </c>
      <c r="R158" s="127">
        <f t="shared" si="312"/>
        <v>1836794.2194474805</v>
      </c>
      <c r="S158" s="127">
        <f t="shared" si="312"/>
        <v>1744954.5084751064</v>
      </c>
      <c r="T158" s="127">
        <f t="shared" si="312"/>
        <v>1653114.7975027324</v>
      </c>
      <c r="U158" s="127">
        <f t="shared" si="312"/>
        <v>1561275.0865303583</v>
      </c>
      <c r="V158" s="127">
        <f t="shared" si="312"/>
        <v>1469435.3755579842</v>
      </c>
      <c r="W158" s="127">
        <f t="shared" si="312"/>
        <v>1377595.6645856104</v>
      </c>
      <c r="X158" s="127">
        <f t="shared" si="312"/>
        <v>1285755.9536132363</v>
      </c>
      <c r="Y158" s="127">
        <f t="shared" si="312"/>
        <v>1193916.2426408622</v>
      </c>
      <c r="Z158" s="127">
        <f t="shared" si="312"/>
        <v>1102076.5316684882</v>
      </c>
      <c r="AA158" s="127">
        <f t="shared" si="312"/>
        <v>1010236.8197237405</v>
      </c>
    </row>
    <row r="159" spans="1:27" hidden="1" x14ac:dyDescent="0.35"/>
    <row r="160" spans="1:27" hidden="1" x14ac:dyDescent="0.35">
      <c r="A160" t="s">
        <v>196</v>
      </c>
      <c r="B160" s="128" t="s">
        <v>154</v>
      </c>
    </row>
    <row r="161" spans="2:27" hidden="1" x14ac:dyDescent="0.35">
      <c r="B161" s="38" t="s">
        <v>66</v>
      </c>
      <c r="C161" s="57">
        <v>0</v>
      </c>
      <c r="D161" s="57">
        <v>1</v>
      </c>
      <c r="E161" s="57">
        <v>2</v>
      </c>
      <c r="F161" s="57">
        <v>3</v>
      </c>
      <c r="G161" s="57">
        <v>4</v>
      </c>
      <c r="H161" s="57">
        <v>5</v>
      </c>
      <c r="I161" s="57">
        <v>6</v>
      </c>
      <c r="J161" s="57">
        <v>7</v>
      </c>
      <c r="K161" s="57">
        <v>8</v>
      </c>
      <c r="L161" s="57">
        <v>9</v>
      </c>
      <c r="M161" s="57">
        <v>10</v>
      </c>
      <c r="N161" s="57">
        <v>11</v>
      </c>
      <c r="O161" s="57">
        <v>12</v>
      </c>
      <c r="P161" s="57">
        <v>13</v>
      </c>
      <c r="Q161" s="57">
        <v>14</v>
      </c>
      <c r="R161" s="57">
        <v>15</v>
      </c>
      <c r="S161" s="57">
        <v>16</v>
      </c>
      <c r="T161" s="57">
        <v>17</v>
      </c>
      <c r="U161" s="57">
        <v>18</v>
      </c>
      <c r="V161" s="57">
        <v>19</v>
      </c>
      <c r="W161" s="57">
        <v>20</v>
      </c>
      <c r="X161" s="57">
        <v>21</v>
      </c>
      <c r="Y161" s="57">
        <v>22</v>
      </c>
      <c r="Z161" s="57">
        <v>23</v>
      </c>
      <c r="AA161" s="57">
        <v>24</v>
      </c>
    </row>
    <row r="162" spans="2:27" hidden="1" x14ac:dyDescent="0.35">
      <c r="B162" s="3" t="s">
        <v>124</v>
      </c>
      <c r="C162" s="83">
        <f t="shared" ref="C162:AA162" si="313">C163</f>
        <v>0</v>
      </c>
      <c r="D162" s="83">
        <f t="shared" si="313"/>
        <v>0</v>
      </c>
      <c r="E162" s="83">
        <f t="shared" si="313"/>
        <v>0</v>
      </c>
      <c r="F162" s="83">
        <f t="shared" si="313"/>
        <v>0</v>
      </c>
      <c r="G162" s="83">
        <f t="shared" si="313"/>
        <v>0</v>
      </c>
      <c r="H162" s="83">
        <f t="shared" si="313"/>
        <v>371438</v>
      </c>
      <c r="I162" s="83">
        <f t="shared" si="313"/>
        <v>371438</v>
      </c>
      <c r="J162" s="83">
        <f t="shared" si="313"/>
        <v>371438</v>
      </c>
      <c r="K162" s="83">
        <f t="shared" si="313"/>
        <v>371438</v>
      </c>
      <c r="L162" s="83">
        <f t="shared" si="313"/>
        <v>371438</v>
      </c>
      <c r="M162" s="83">
        <f t="shared" si="313"/>
        <v>371438</v>
      </c>
      <c r="N162" s="83">
        <f t="shared" si="313"/>
        <v>371438</v>
      </c>
      <c r="O162" s="83">
        <f t="shared" si="313"/>
        <v>371438</v>
      </c>
      <c r="P162" s="83">
        <f t="shared" si="313"/>
        <v>492526</v>
      </c>
      <c r="Q162" s="83">
        <f t="shared" si="313"/>
        <v>371438</v>
      </c>
      <c r="R162" s="83">
        <f t="shared" si="313"/>
        <v>371438</v>
      </c>
      <c r="S162" s="83">
        <f t="shared" si="313"/>
        <v>371438</v>
      </c>
      <c r="T162" s="83">
        <f t="shared" si="313"/>
        <v>371438</v>
      </c>
      <c r="U162" s="83">
        <f t="shared" si="313"/>
        <v>371438</v>
      </c>
      <c r="V162" s="83">
        <f t="shared" si="313"/>
        <v>371438</v>
      </c>
      <c r="W162" s="83">
        <f t="shared" si="313"/>
        <v>371438</v>
      </c>
      <c r="X162" s="83">
        <f t="shared" si="313"/>
        <v>371438</v>
      </c>
      <c r="Y162" s="83">
        <f t="shared" si="313"/>
        <v>371438</v>
      </c>
      <c r="Z162" s="83">
        <f t="shared" si="313"/>
        <v>371438</v>
      </c>
      <c r="AA162" s="83">
        <f t="shared" si="313"/>
        <v>371438.05000000005</v>
      </c>
    </row>
    <row r="163" spans="2:27" hidden="1" x14ac:dyDescent="0.35">
      <c r="B163" s="69" t="s">
        <v>126</v>
      </c>
      <c r="C163" s="85">
        <f>C84</f>
        <v>0</v>
      </c>
      <c r="D163" s="85">
        <f t="shared" ref="D163:AA163" si="314">D$5</f>
        <v>0</v>
      </c>
      <c r="E163" s="85">
        <f t="shared" si="314"/>
        <v>0</v>
      </c>
      <c r="F163" s="85">
        <f t="shared" si="314"/>
        <v>0</v>
      </c>
      <c r="G163" s="85">
        <f t="shared" si="314"/>
        <v>0</v>
      </c>
      <c r="H163" s="85">
        <f t="shared" si="314"/>
        <v>371438</v>
      </c>
      <c r="I163" s="85">
        <f t="shared" si="314"/>
        <v>371438</v>
      </c>
      <c r="J163" s="85">
        <f t="shared" si="314"/>
        <v>371438</v>
      </c>
      <c r="K163" s="85">
        <f t="shared" si="314"/>
        <v>371438</v>
      </c>
      <c r="L163" s="85">
        <f t="shared" si="314"/>
        <v>371438</v>
      </c>
      <c r="M163" s="85">
        <f t="shared" si="314"/>
        <v>371438</v>
      </c>
      <c r="N163" s="85">
        <f t="shared" si="314"/>
        <v>371438</v>
      </c>
      <c r="O163" s="85">
        <f t="shared" si="314"/>
        <v>371438</v>
      </c>
      <c r="P163" s="85">
        <f t="shared" si="314"/>
        <v>492526</v>
      </c>
      <c r="Q163" s="85">
        <f t="shared" si="314"/>
        <v>371438</v>
      </c>
      <c r="R163" s="85">
        <f t="shared" si="314"/>
        <v>371438</v>
      </c>
      <c r="S163" s="85">
        <f t="shared" si="314"/>
        <v>371438</v>
      </c>
      <c r="T163" s="85">
        <f t="shared" si="314"/>
        <v>371438</v>
      </c>
      <c r="U163" s="85">
        <f t="shared" si="314"/>
        <v>371438</v>
      </c>
      <c r="V163" s="85">
        <f t="shared" si="314"/>
        <v>371438</v>
      </c>
      <c r="W163" s="85">
        <f t="shared" si="314"/>
        <v>371438</v>
      </c>
      <c r="X163" s="85">
        <f t="shared" si="314"/>
        <v>371438</v>
      </c>
      <c r="Y163" s="85">
        <f t="shared" si="314"/>
        <v>371438</v>
      </c>
      <c r="Z163" s="85">
        <f t="shared" si="314"/>
        <v>371438</v>
      </c>
      <c r="AA163" s="85">
        <f t="shared" si="314"/>
        <v>371438.05000000005</v>
      </c>
    </row>
    <row r="164" spans="2:27" hidden="1" x14ac:dyDescent="0.35">
      <c r="B164" s="3" t="s">
        <v>109</v>
      </c>
      <c r="C164" s="83">
        <f t="shared" ref="C164:AA164" si="315">C165+C166</f>
        <v>0</v>
      </c>
      <c r="D164" s="83">
        <f t="shared" si="315"/>
        <v>187500</v>
      </c>
      <c r="E164" s="83">
        <f t="shared" si="315"/>
        <v>434652.5</v>
      </c>
      <c r="F164" s="83">
        <f t="shared" si="315"/>
        <v>1509972.0966099999</v>
      </c>
      <c r="G164" s="83">
        <f t="shared" si="315"/>
        <v>4014064.7935640984</v>
      </c>
      <c r="H164" s="83">
        <f t="shared" si="315"/>
        <v>2847816.2078251997</v>
      </c>
      <c r="I164" s="83">
        <f t="shared" si="315"/>
        <v>2771141.8266784917</v>
      </c>
      <c r="J164" s="83">
        <f t="shared" si="315"/>
        <v>2694694.9254791681</v>
      </c>
      <c r="K164" s="83">
        <f t="shared" si="315"/>
        <v>2618478.9164264407</v>
      </c>
      <c r="L164" s="83">
        <f t="shared" si="315"/>
        <v>2542497.2629025076</v>
      </c>
      <c r="M164" s="83">
        <f t="shared" si="315"/>
        <v>2466753.4802403012</v>
      </c>
      <c r="N164" s="83">
        <f t="shared" si="315"/>
        <v>2391251.1365027474</v>
      </c>
      <c r="O164" s="83">
        <f t="shared" si="315"/>
        <v>2315993.8532737158</v>
      </c>
      <c r="P164" s="83">
        <f t="shared" si="315"/>
        <v>2964860.3721905053</v>
      </c>
      <c r="Q164" s="83">
        <f t="shared" si="315"/>
        <v>5105161.9939728081</v>
      </c>
      <c r="R164" s="83">
        <f t="shared" si="315"/>
        <v>2091729.4022341846</v>
      </c>
      <c r="S164" s="83">
        <f t="shared" si="315"/>
        <v>2017489.6756494672</v>
      </c>
      <c r="T164" s="83">
        <f t="shared" si="315"/>
        <v>1943513.9488305645</v>
      </c>
      <c r="U164" s="83">
        <f t="shared" si="315"/>
        <v>1869806.1817739638</v>
      </c>
      <c r="V164" s="83">
        <f t="shared" si="315"/>
        <v>1796370.3938761</v>
      </c>
      <c r="W164" s="83">
        <f t="shared" si="315"/>
        <v>1723210.6648243535</v>
      </c>
      <c r="X164" s="83">
        <f t="shared" si="315"/>
        <v>1650331.1355014166</v>
      </c>
      <c r="Y164" s="83">
        <f t="shared" si="315"/>
        <v>1577736.0089032212</v>
      </c>
      <c r="Z164" s="83">
        <f t="shared" si="315"/>
        <v>1505429.5510706385</v>
      </c>
      <c r="AA164" s="83">
        <f t="shared" si="315"/>
        <v>1433416.0910627791</v>
      </c>
    </row>
    <row r="165" spans="2:27" hidden="1" x14ac:dyDescent="0.35">
      <c r="B165" s="69" t="s">
        <v>146</v>
      </c>
      <c r="C165" s="85">
        <f t="shared" ref="C165:AA165" si="316">+C195</f>
        <v>0</v>
      </c>
      <c r="D165" s="85">
        <f t="shared" si="316"/>
        <v>187500</v>
      </c>
      <c r="E165" s="85">
        <f t="shared" si="316"/>
        <v>434652.5</v>
      </c>
      <c r="F165" s="85">
        <f t="shared" si="316"/>
        <v>876876.58125000005</v>
      </c>
      <c r="G165" s="85">
        <f t="shared" si="316"/>
        <v>1443697.0012025</v>
      </c>
      <c r="H165" s="85">
        <f t="shared" si="316"/>
        <v>1836794.219447481</v>
      </c>
      <c r="I165" s="85">
        <f t="shared" si="316"/>
        <v>1744954.5084751071</v>
      </c>
      <c r="J165" s="85">
        <f t="shared" si="316"/>
        <v>1653114.7975027328</v>
      </c>
      <c r="K165" s="85">
        <f t="shared" si="316"/>
        <v>1561275.0865303588</v>
      </c>
      <c r="L165" s="85">
        <f t="shared" si="316"/>
        <v>1469435.3755579847</v>
      </c>
      <c r="M165" s="85">
        <f t="shared" si="316"/>
        <v>1377595.6645856106</v>
      </c>
      <c r="N165" s="85">
        <f t="shared" si="316"/>
        <v>1285755.9536132365</v>
      </c>
      <c r="O165" s="85">
        <f t="shared" si="316"/>
        <v>1193916.2426408622</v>
      </c>
      <c r="P165" s="85">
        <f t="shared" si="316"/>
        <v>1102076.5316684882</v>
      </c>
      <c r="Q165" s="85">
        <f t="shared" si="316"/>
        <v>1010236.8206961141</v>
      </c>
      <c r="R165" s="85">
        <f t="shared" si="316"/>
        <v>918397.10972373991</v>
      </c>
      <c r="S165" s="85">
        <f t="shared" si="316"/>
        <v>826557.39875136595</v>
      </c>
      <c r="T165" s="85">
        <f t="shared" si="316"/>
        <v>734717.68777899188</v>
      </c>
      <c r="U165" s="85">
        <f t="shared" si="316"/>
        <v>642877.97680661781</v>
      </c>
      <c r="V165" s="85">
        <f t="shared" si="316"/>
        <v>551038.26583424385</v>
      </c>
      <c r="W165" s="85">
        <f t="shared" si="316"/>
        <v>459198.55486186978</v>
      </c>
      <c r="X165" s="85">
        <f t="shared" si="316"/>
        <v>367358.84388949577</v>
      </c>
      <c r="Y165" s="85">
        <f t="shared" si="316"/>
        <v>275519.13291712169</v>
      </c>
      <c r="Z165" s="85">
        <f t="shared" si="316"/>
        <v>183679.42194474768</v>
      </c>
      <c r="AA165" s="85">
        <f t="shared" si="316"/>
        <v>91839.71</v>
      </c>
    </row>
    <row r="166" spans="2:27" hidden="1" x14ac:dyDescent="0.35">
      <c r="B166" s="69" t="s">
        <v>163</v>
      </c>
      <c r="C166" s="85">
        <f t="shared" ref="C166:AA166" si="317">SUM(C167:C169)</f>
        <v>0</v>
      </c>
      <c r="D166" s="85">
        <f t="shared" si="317"/>
        <v>0</v>
      </c>
      <c r="E166" s="85">
        <f t="shared" si="317"/>
        <v>0</v>
      </c>
      <c r="F166" s="85">
        <f t="shared" si="317"/>
        <v>633095.51535999984</v>
      </c>
      <c r="G166" s="85">
        <f t="shared" si="317"/>
        <v>2570367.7923615985</v>
      </c>
      <c r="H166" s="85">
        <f t="shared" si="317"/>
        <v>1011021.988377719</v>
      </c>
      <c r="I166" s="85">
        <f t="shared" si="317"/>
        <v>1026187.3182033846</v>
      </c>
      <c r="J166" s="85">
        <f t="shared" si="317"/>
        <v>1041580.1279764354</v>
      </c>
      <c r="K166" s="85">
        <f t="shared" si="317"/>
        <v>1057203.8298960817</v>
      </c>
      <c r="L166" s="85">
        <f t="shared" si="317"/>
        <v>1073061.8873445229</v>
      </c>
      <c r="M166" s="85">
        <f t="shared" si="317"/>
        <v>1089157.8156546906</v>
      </c>
      <c r="N166" s="85">
        <f t="shared" si="317"/>
        <v>1105495.1828895109</v>
      </c>
      <c r="O166" s="85">
        <f t="shared" si="317"/>
        <v>1122077.6106328536</v>
      </c>
      <c r="P166" s="85">
        <f t="shared" si="317"/>
        <v>1862783.8405220169</v>
      </c>
      <c r="Q166" s="85">
        <f t="shared" si="317"/>
        <v>4094925.173276694</v>
      </c>
      <c r="R166" s="85">
        <f t="shared" si="317"/>
        <v>1173332.2925104445</v>
      </c>
      <c r="S166" s="85">
        <f t="shared" si="317"/>
        <v>1190932.2768981012</v>
      </c>
      <c r="T166" s="85">
        <f t="shared" si="317"/>
        <v>1208796.2610515726</v>
      </c>
      <c r="U166" s="85">
        <f t="shared" si="317"/>
        <v>1226928.204967346</v>
      </c>
      <c r="V166" s="85">
        <f t="shared" si="317"/>
        <v>1245332.128041856</v>
      </c>
      <c r="W166" s="85">
        <f t="shared" si="317"/>
        <v>1264012.1099624839</v>
      </c>
      <c r="X166" s="85">
        <f t="shared" si="317"/>
        <v>1282972.2916119208</v>
      </c>
      <c r="Y166" s="85">
        <f t="shared" si="317"/>
        <v>1302216.8759860995</v>
      </c>
      <c r="Z166" s="85">
        <f t="shared" si="317"/>
        <v>1321750.1291258908</v>
      </c>
      <c r="AA166" s="85">
        <f t="shared" si="317"/>
        <v>1341576.3810627791</v>
      </c>
    </row>
    <row r="167" spans="2:27" hidden="1" x14ac:dyDescent="0.35">
      <c r="B167" s="129" t="s">
        <v>108</v>
      </c>
      <c r="C167" s="85">
        <f t="shared" ref="C167:AA167" si="318">C9</f>
        <v>0</v>
      </c>
      <c r="D167" s="85">
        <f t="shared" si="318"/>
        <v>0</v>
      </c>
      <c r="E167" s="85">
        <f t="shared" si="318"/>
        <v>0</v>
      </c>
      <c r="F167" s="85">
        <f t="shared" si="318"/>
        <v>0</v>
      </c>
      <c r="G167" s="85">
        <f t="shared" si="318"/>
        <v>0</v>
      </c>
      <c r="H167" s="85">
        <f t="shared" si="318"/>
        <v>92624.878653978507</v>
      </c>
      <c r="I167" s="85">
        <f t="shared" si="318"/>
        <v>94014.251833788163</v>
      </c>
      <c r="J167" s="85">
        <f t="shared" si="318"/>
        <v>95424.465611294974</v>
      </c>
      <c r="K167" s="85">
        <f t="shared" si="318"/>
        <v>96855.832595464381</v>
      </c>
      <c r="L167" s="85">
        <f t="shared" si="318"/>
        <v>98308.670084396334</v>
      </c>
      <c r="M167" s="85">
        <f t="shared" si="318"/>
        <v>99783.30013566227</v>
      </c>
      <c r="N167" s="85">
        <f t="shared" si="318"/>
        <v>101280.0496376972</v>
      </c>
      <c r="O167" s="85">
        <f t="shared" si="318"/>
        <v>102799.25038226263</v>
      </c>
      <c r="P167" s="85">
        <f t="shared" si="318"/>
        <v>104341.23913799657</v>
      </c>
      <c r="Q167" s="85">
        <f t="shared" si="318"/>
        <v>105906.35772506648</v>
      </c>
      <c r="R167" s="85">
        <f t="shared" si="318"/>
        <v>107494.95309094246</v>
      </c>
      <c r="S167" s="85">
        <f t="shared" si="318"/>
        <v>109107.37738730659</v>
      </c>
      <c r="T167" s="85">
        <f t="shared" si="318"/>
        <v>110743.98804811617</v>
      </c>
      <c r="U167" s="85">
        <f t="shared" si="318"/>
        <v>112405.14786883791</v>
      </c>
      <c r="V167" s="85">
        <f t="shared" si="318"/>
        <v>114091.22508687047</v>
      </c>
      <c r="W167" s="85">
        <f t="shared" si="318"/>
        <v>115802.59346317349</v>
      </c>
      <c r="X167" s="85">
        <f t="shared" si="318"/>
        <v>117539.63236512108</v>
      </c>
      <c r="Y167" s="85">
        <f t="shared" si="318"/>
        <v>119302.72685059787</v>
      </c>
      <c r="Z167" s="85">
        <f t="shared" si="318"/>
        <v>121092.26775335683</v>
      </c>
      <c r="AA167" s="85">
        <f t="shared" si="318"/>
        <v>122908.65176965717</v>
      </c>
    </row>
    <row r="168" spans="2:27" hidden="1" x14ac:dyDescent="0.35">
      <c r="B168" s="129" t="s">
        <v>110</v>
      </c>
      <c r="C168" s="85">
        <f t="shared" ref="C168:G168" si="319">C10</f>
        <v>0</v>
      </c>
      <c r="D168" s="85">
        <f t="shared" si="319"/>
        <v>0</v>
      </c>
      <c r="E168" s="85">
        <f t="shared" si="319"/>
        <v>0</v>
      </c>
      <c r="F168" s="85">
        <f t="shared" si="319"/>
        <v>0</v>
      </c>
      <c r="G168" s="85">
        <f t="shared" si="319"/>
        <v>0</v>
      </c>
      <c r="H168" s="85">
        <f>SUM(C175:G175)*0.05</f>
        <v>918397.10972374049</v>
      </c>
      <c r="I168" s="85">
        <f>H168*(1+'Sensitivity 2'!$D$5)</f>
        <v>932173.06636959652</v>
      </c>
      <c r="J168" s="85">
        <f>I168*(1+'Sensitivity 2'!$D$5)</f>
        <v>946155.66236514039</v>
      </c>
      <c r="K168" s="85">
        <f>J168*(1+'Sensitivity 2'!$D$5)</f>
        <v>960347.9973006174</v>
      </c>
      <c r="L168" s="85">
        <f>K168*(1+'Sensitivity 2'!$D$5)</f>
        <v>974753.21726012661</v>
      </c>
      <c r="M168" s="85">
        <f>L168*(1+'Sensitivity 2'!$D$5)</f>
        <v>989374.51551902841</v>
      </c>
      <c r="N168" s="85">
        <f>M168*(1+'Sensitivity 2'!$D$5)</f>
        <v>1004215.1332518137</v>
      </c>
      <c r="O168" s="85">
        <f>N168*(1+'Sensitivity 2'!$D$5)</f>
        <v>1019278.3602505908</v>
      </c>
      <c r="P168" s="85">
        <f>O168*(1+'Sensitivity 2'!$D$5)</f>
        <v>1034567.5356543496</v>
      </c>
      <c r="Q168" s="85">
        <f>P168*(1+'Sensitivity 2'!$D$5)</f>
        <v>1050086.0486891647</v>
      </c>
      <c r="R168" s="85">
        <f>Q168*(1+'Sensitivity 2'!$D$5)</f>
        <v>1065837.3394195021</v>
      </c>
      <c r="S168" s="85">
        <f>R168*(1+'Sensitivity 2'!$D$5)</f>
        <v>1081824.8995107946</v>
      </c>
      <c r="T168" s="85">
        <f>S168*(1+'Sensitivity 2'!$D$5)</f>
        <v>1098052.2730034564</v>
      </c>
      <c r="U168" s="85">
        <f>T168*(1+'Sensitivity 2'!$D$5)</f>
        <v>1114523.0570985081</v>
      </c>
      <c r="V168" s="85">
        <f>U168*(1+'Sensitivity 2'!$D$5)</f>
        <v>1131240.9029549856</v>
      </c>
      <c r="W168" s="85">
        <f>V168*(1+'Sensitivity 2'!$D$5)</f>
        <v>1148209.5164993103</v>
      </c>
      <c r="X168" s="85">
        <f>W168*(1+'Sensitivity 2'!$D$5)</f>
        <v>1165432.6592467998</v>
      </c>
      <c r="Y168" s="85">
        <f>X168*(1+'Sensitivity 2'!$D$5)</f>
        <v>1182914.1491355016</v>
      </c>
      <c r="Z168" s="85">
        <f>Y168*(1+'Sensitivity 2'!$D$5)</f>
        <v>1200657.861372534</v>
      </c>
      <c r="AA168" s="85">
        <f>Z168*(1+'Sensitivity 2'!$D$5)</f>
        <v>1218667.729293122</v>
      </c>
    </row>
    <row r="169" spans="2:27" hidden="1" collapsed="1" x14ac:dyDescent="0.35">
      <c r="B169" s="129" t="s">
        <v>125</v>
      </c>
      <c r="C169" s="85">
        <f t="shared" ref="C169:Z169" si="320">+SUM(C170:C174)</f>
        <v>0</v>
      </c>
      <c r="D169" s="85">
        <f t="shared" si="320"/>
        <v>0</v>
      </c>
      <c r="E169" s="85">
        <f t="shared" si="320"/>
        <v>0</v>
      </c>
      <c r="F169" s="85">
        <f t="shared" si="320"/>
        <v>633095.51535999984</v>
      </c>
      <c r="G169" s="85">
        <f t="shared" si="320"/>
        <v>2570367.7923615985</v>
      </c>
      <c r="H169" s="85">
        <f t="shared" si="320"/>
        <v>0</v>
      </c>
      <c r="I169" s="85">
        <f t="shared" si="320"/>
        <v>0</v>
      </c>
      <c r="J169" s="85">
        <f t="shared" si="320"/>
        <v>0</v>
      </c>
      <c r="K169" s="85">
        <f t="shared" si="320"/>
        <v>0</v>
      </c>
      <c r="L169" s="85">
        <f t="shared" si="320"/>
        <v>0</v>
      </c>
      <c r="M169" s="85">
        <f t="shared" si="320"/>
        <v>0</v>
      </c>
      <c r="N169" s="85">
        <f t="shared" si="320"/>
        <v>0</v>
      </c>
      <c r="O169" s="85">
        <f t="shared" si="320"/>
        <v>0</v>
      </c>
      <c r="P169" s="85">
        <f t="shared" si="320"/>
        <v>723875.06572967069</v>
      </c>
      <c r="Q169" s="85">
        <f t="shared" si="320"/>
        <v>2938932.7668624627</v>
      </c>
      <c r="R169" s="85">
        <f t="shared" si="320"/>
        <v>0</v>
      </c>
      <c r="S169" s="85">
        <f t="shared" si="320"/>
        <v>0</v>
      </c>
      <c r="T169" s="85">
        <f t="shared" si="320"/>
        <v>0</v>
      </c>
      <c r="U169" s="85">
        <f t="shared" si="320"/>
        <v>0</v>
      </c>
      <c r="V169" s="85">
        <f t="shared" si="320"/>
        <v>0</v>
      </c>
      <c r="W169" s="85">
        <f t="shared" si="320"/>
        <v>0</v>
      </c>
      <c r="X169" s="85">
        <f t="shared" si="320"/>
        <v>0</v>
      </c>
      <c r="Y169" s="85">
        <f t="shared" si="320"/>
        <v>0</v>
      </c>
      <c r="Z169" s="85">
        <f t="shared" si="320"/>
        <v>0</v>
      </c>
      <c r="AA169" s="85">
        <f t="shared" ref="AA169" si="321">+SUM(AA170:AA174)</f>
        <v>0</v>
      </c>
    </row>
    <row r="170" spans="2:27" hidden="1" outlineLevel="1" x14ac:dyDescent="0.35">
      <c r="B170" s="133" t="s">
        <v>27</v>
      </c>
      <c r="C170" s="85">
        <f t="shared" ref="C170:AA170" si="322">C12</f>
        <v>0</v>
      </c>
      <c r="D170" s="85">
        <f t="shared" si="322"/>
        <v>0</v>
      </c>
      <c r="E170" s="85">
        <f t="shared" si="322"/>
        <v>0</v>
      </c>
      <c r="F170" s="85">
        <f t="shared" si="322"/>
        <v>122302.54273999996</v>
      </c>
      <c r="G170" s="85">
        <f t="shared" si="322"/>
        <v>496548.32352439972</v>
      </c>
      <c r="H170" s="85">
        <f t="shared" si="322"/>
        <v>0</v>
      </c>
      <c r="I170" s="85">
        <f t="shared" si="322"/>
        <v>0</v>
      </c>
      <c r="J170" s="85">
        <f t="shared" si="322"/>
        <v>0</v>
      </c>
      <c r="K170" s="85">
        <f t="shared" si="322"/>
        <v>0</v>
      </c>
      <c r="L170" s="85">
        <f t="shared" si="322"/>
        <v>0</v>
      </c>
      <c r="M170" s="85">
        <f t="shared" si="322"/>
        <v>0</v>
      </c>
      <c r="N170" s="85">
        <f t="shared" si="322"/>
        <v>0</v>
      </c>
      <c r="O170" s="85">
        <f t="shared" si="322"/>
        <v>0</v>
      </c>
      <c r="P170" s="85">
        <f t="shared" si="322"/>
        <v>139839.50133414092</v>
      </c>
      <c r="Q170" s="85">
        <f t="shared" si="322"/>
        <v>567748.37541661214</v>
      </c>
      <c r="R170" s="85">
        <f t="shared" si="322"/>
        <v>0</v>
      </c>
      <c r="S170" s="85">
        <f t="shared" si="322"/>
        <v>0</v>
      </c>
      <c r="T170" s="85">
        <f t="shared" si="322"/>
        <v>0</v>
      </c>
      <c r="U170" s="85">
        <f t="shared" si="322"/>
        <v>0</v>
      </c>
      <c r="V170" s="85">
        <f t="shared" si="322"/>
        <v>0</v>
      </c>
      <c r="W170" s="85">
        <f t="shared" si="322"/>
        <v>0</v>
      </c>
      <c r="X170" s="85">
        <f t="shared" si="322"/>
        <v>0</v>
      </c>
      <c r="Y170" s="85">
        <f t="shared" si="322"/>
        <v>0</v>
      </c>
      <c r="Z170" s="85">
        <f t="shared" si="322"/>
        <v>0</v>
      </c>
      <c r="AA170" s="85">
        <f t="shared" si="322"/>
        <v>0</v>
      </c>
    </row>
    <row r="171" spans="2:27" hidden="1" outlineLevel="1" x14ac:dyDescent="0.35">
      <c r="B171" s="133" t="s">
        <v>42</v>
      </c>
      <c r="C171" s="85">
        <f t="shared" ref="C171:AA171" si="323">C13</f>
        <v>0</v>
      </c>
      <c r="D171" s="85">
        <f t="shared" si="323"/>
        <v>0</v>
      </c>
      <c r="E171" s="85">
        <f t="shared" si="323"/>
        <v>0</v>
      </c>
      <c r="F171" s="85">
        <f t="shared" si="323"/>
        <v>68345.538589999967</v>
      </c>
      <c r="G171" s="85">
        <f t="shared" si="323"/>
        <v>277482.88667539984</v>
      </c>
      <c r="H171" s="85">
        <f t="shared" si="323"/>
        <v>0</v>
      </c>
      <c r="I171" s="85">
        <f t="shared" si="323"/>
        <v>0</v>
      </c>
      <c r="J171" s="85">
        <f t="shared" si="323"/>
        <v>0</v>
      </c>
      <c r="K171" s="85">
        <f t="shared" si="323"/>
        <v>0</v>
      </c>
      <c r="L171" s="85">
        <f t="shared" si="323"/>
        <v>0</v>
      </c>
      <c r="M171" s="85">
        <f t="shared" si="323"/>
        <v>0</v>
      </c>
      <c r="N171" s="85">
        <f t="shared" si="323"/>
        <v>0</v>
      </c>
      <c r="O171" s="85">
        <f t="shared" si="323"/>
        <v>0</v>
      </c>
      <c r="P171" s="85">
        <f t="shared" si="323"/>
        <v>78145.603686725808</v>
      </c>
      <c r="Q171" s="85">
        <f t="shared" si="323"/>
        <v>317271.15096810681</v>
      </c>
      <c r="R171" s="85">
        <f t="shared" si="323"/>
        <v>0</v>
      </c>
      <c r="S171" s="85">
        <f t="shared" si="323"/>
        <v>0</v>
      </c>
      <c r="T171" s="85">
        <f t="shared" si="323"/>
        <v>0</v>
      </c>
      <c r="U171" s="85">
        <f t="shared" si="323"/>
        <v>0</v>
      </c>
      <c r="V171" s="85">
        <f t="shared" si="323"/>
        <v>0</v>
      </c>
      <c r="W171" s="85">
        <f t="shared" si="323"/>
        <v>0</v>
      </c>
      <c r="X171" s="85">
        <f t="shared" si="323"/>
        <v>0</v>
      </c>
      <c r="Y171" s="85">
        <f t="shared" si="323"/>
        <v>0</v>
      </c>
      <c r="Z171" s="85">
        <f t="shared" si="323"/>
        <v>0</v>
      </c>
      <c r="AA171" s="85">
        <f t="shared" si="323"/>
        <v>0</v>
      </c>
    </row>
    <row r="172" spans="2:27" hidden="1" outlineLevel="1" x14ac:dyDescent="0.35">
      <c r="B172" s="133" t="s">
        <v>150</v>
      </c>
      <c r="C172" s="85">
        <f t="shared" ref="C172:AA172" si="324">C14</f>
        <v>0</v>
      </c>
      <c r="D172" s="85">
        <f t="shared" si="324"/>
        <v>0</v>
      </c>
      <c r="E172" s="85">
        <f t="shared" si="324"/>
        <v>0</v>
      </c>
      <c r="F172" s="85">
        <f t="shared" si="324"/>
        <v>93525.473859999969</v>
      </c>
      <c r="G172" s="85">
        <f t="shared" si="324"/>
        <v>379713.42387159978</v>
      </c>
      <c r="H172" s="85">
        <f t="shared" si="324"/>
        <v>0</v>
      </c>
      <c r="I172" s="85">
        <f t="shared" si="324"/>
        <v>0</v>
      </c>
      <c r="J172" s="85">
        <f t="shared" si="324"/>
        <v>0</v>
      </c>
      <c r="K172" s="85">
        <f t="shared" si="324"/>
        <v>0</v>
      </c>
      <c r="L172" s="85">
        <f t="shared" si="324"/>
        <v>0</v>
      </c>
      <c r="M172" s="85">
        <f t="shared" si="324"/>
        <v>0</v>
      </c>
      <c r="N172" s="85">
        <f t="shared" si="324"/>
        <v>0</v>
      </c>
      <c r="O172" s="85">
        <f t="shared" si="324"/>
        <v>0</v>
      </c>
      <c r="P172" s="85">
        <f t="shared" si="324"/>
        <v>106936.08925551953</v>
      </c>
      <c r="Q172" s="85">
        <f t="shared" si="324"/>
        <v>434160.52237740927</v>
      </c>
      <c r="R172" s="85">
        <f t="shared" si="324"/>
        <v>0</v>
      </c>
      <c r="S172" s="85">
        <f t="shared" si="324"/>
        <v>0</v>
      </c>
      <c r="T172" s="85">
        <f t="shared" si="324"/>
        <v>0</v>
      </c>
      <c r="U172" s="85">
        <f t="shared" si="324"/>
        <v>0</v>
      </c>
      <c r="V172" s="85">
        <f t="shared" si="324"/>
        <v>0</v>
      </c>
      <c r="W172" s="85">
        <f t="shared" si="324"/>
        <v>0</v>
      </c>
      <c r="X172" s="85">
        <f t="shared" si="324"/>
        <v>0</v>
      </c>
      <c r="Y172" s="85">
        <f t="shared" si="324"/>
        <v>0</v>
      </c>
      <c r="Z172" s="85">
        <f t="shared" si="324"/>
        <v>0</v>
      </c>
      <c r="AA172" s="85">
        <f t="shared" si="324"/>
        <v>0</v>
      </c>
    </row>
    <row r="173" spans="2:27" hidden="1" outlineLevel="1" x14ac:dyDescent="0.35">
      <c r="B173" s="133" t="s">
        <v>43</v>
      </c>
      <c r="C173" s="85">
        <f t="shared" ref="C173:AA173" si="325">C15</f>
        <v>0</v>
      </c>
      <c r="D173" s="85">
        <f t="shared" si="325"/>
        <v>0</v>
      </c>
      <c r="E173" s="85">
        <f t="shared" si="325"/>
        <v>0</v>
      </c>
      <c r="F173" s="85">
        <f t="shared" si="325"/>
        <v>46762.736929999985</v>
      </c>
      <c r="G173" s="85">
        <f t="shared" si="325"/>
        <v>189856.71193579989</v>
      </c>
      <c r="H173" s="85">
        <f t="shared" si="325"/>
        <v>0</v>
      </c>
      <c r="I173" s="85">
        <f t="shared" si="325"/>
        <v>0</v>
      </c>
      <c r="J173" s="85">
        <f t="shared" si="325"/>
        <v>0</v>
      </c>
      <c r="K173" s="85">
        <f t="shared" si="325"/>
        <v>0</v>
      </c>
      <c r="L173" s="85">
        <f t="shared" si="325"/>
        <v>0</v>
      </c>
      <c r="M173" s="85">
        <f t="shared" si="325"/>
        <v>0</v>
      </c>
      <c r="N173" s="85">
        <f t="shared" si="325"/>
        <v>0</v>
      </c>
      <c r="O173" s="85">
        <f t="shared" si="325"/>
        <v>0</v>
      </c>
      <c r="P173" s="85">
        <f t="shared" si="325"/>
        <v>53468.044627759766</v>
      </c>
      <c r="Q173" s="85">
        <f t="shared" si="325"/>
        <v>217080.26118870464</v>
      </c>
      <c r="R173" s="85">
        <f t="shared" si="325"/>
        <v>0</v>
      </c>
      <c r="S173" s="85">
        <f t="shared" si="325"/>
        <v>0</v>
      </c>
      <c r="T173" s="85">
        <f t="shared" si="325"/>
        <v>0</v>
      </c>
      <c r="U173" s="85">
        <f t="shared" si="325"/>
        <v>0</v>
      </c>
      <c r="V173" s="85">
        <f t="shared" si="325"/>
        <v>0</v>
      </c>
      <c r="W173" s="85">
        <f t="shared" si="325"/>
        <v>0</v>
      </c>
      <c r="X173" s="85">
        <f t="shared" si="325"/>
        <v>0</v>
      </c>
      <c r="Y173" s="85">
        <f t="shared" si="325"/>
        <v>0</v>
      </c>
      <c r="Z173" s="85">
        <f t="shared" si="325"/>
        <v>0</v>
      </c>
      <c r="AA173" s="85">
        <f t="shared" si="325"/>
        <v>0</v>
      </c>
    </row>
    <row r="174" spans="2:27" hidden="1" outlineLevel="1" x14ac:dyDescent="0.35">
      <c r="B174" s="133" t="s">
        <v>44</v>
      </c>
      <c r="C174" s="85">
        <f t="shared" ref="C174:AA174" si="326">C16</f>
        <v>0</v>
      </c>
      <c r="D174" s="85">
        <f t="shared" si="326"/>
        <v>0</v>
      </c>
      <c r="E174" s="85">
        <f t="shared" si="326"/>
        <v>0</v>
      </c>
      <c r="F174" s="85">
        <f t="shared" si="326"/>
        <v>302159.2232399999</v>
      </c>
      <c r="G174" s="85">
        <f t="shared" si="326"/>
        <v>1226766.4463543994</v>
      </c>
      <c r="H174" s="85">
        <f t="shared" si="326"/>
        <v>0</v>
      </c>
      <c r="I174" s="85">
        <f t="shared" si="326"/>
        <v>0</v>
      </c>
      <c r="J174" s="85">
        <f t="shared" si="326"/>
        <v>0</v>
      </c>
      <c r="K174" s="85">
        <f t="shared" si="326"/>
        <v>0</v>
      </c>
      <c r="L174" s="85">
        <f t="shared" si="326"/>
        <v>0</v>
      </c>
      <c r="M174" s="85">
        <f t="shared" si="326"/>
        <v>0</v>
      </c>
      <c r="N174" s="85">
        <f t="shared" si="326"/>
        <v>0</v>
      </c>
      <c r="O174" s="85">
        <f t="shared" si="326"/>
        <v>0</v>
      </c>
      <c r="P174" s="85">
        <f t="shared" si="326"/>
        <v>345485.82682552468</v>
      </c>
      <c r="Q174" s="85">
        <f t="shared" si="326"/>
        <v>1402672.45691163</v>
      </c>
      <c r="R174" s="85">
        <f t="shared" si="326"/>
        <v>0</v>
      </c>
      <c r="S174" s="85">
        <f t="shared" si="326"/>
        <v>0</v>
      </c>
      <c r="T174" s="85">
        <f t="shared" si="326"/>
        <v>0</v>
      </c>
      <c r="U174" s="85">
        <f t="shared" si="326"/>
        <v>0</v>
      </c>
      <c r="V174" s="85">
        <f t="shared" si="326"/>
        <v>0</v>
      </c>
      <c r="W174" s="85">
        <f t="shared" si="326"/>
        <v>0</v>
      </c>
      <c r="X174" s="85">
        <f t="shared" si="326"/>
        <v>0</v>
      </c>
      <c r="Y174" s="85">
        <f t="shared" si="326"/>
        <v>0</v>
      </c>
      <c r="Z174" s="85">
        <f t="shared" si="326"/>
        <v>0</v>
      </c>
      <c r="AA174" s="85">
        <f t="shared" si="326"/>
        <v>0</v>
      </c>
    </row>
    <row r="175" spans="2:27" hidden="1" x14ac:dyDescent="0.35">
      <c r="B175" s="3" t="s">
        <v>122</v>
      </c>
      <c r="C175" s="83">
        <f t="shared" ref="C175:E175" si="327">C176+C177</f>
        <v>1875000</v>
      </c>
      <c r="D175" s="83">
        <f t="shared" si="327"/>
        <v>2471524.9999999995</v>
      </c>
      <c r="E175" s="83">
        <f t="shared" si="327"/>
        <v>4422240.8124999991</v>
      </c>
      <c r="F175" s="83">
        <f t="shared" ref="F175" si="328">F176+F177</f>
        <v>5668204.1995249977</v>
      </c>
      <c r="G175" s="83">
        <f t="shared" ref="G175" si="329">G176+G177</f>
        <v>3930972.1824498107</v>
      </c>
      <c r="H175" s="83">
        <f t="shared" ref="H175" si="330">H176+H177</f>
        <v>0</v>
      </c>
      <c r="I175" s="83">
        <f t="shared" ref="I175" si="331">I176+I177</f>
        <v>0</v>
      </c>
      <c r="J175" s="83">
        <f t="shared" ref="J175" si="332">J176+J177</f>
        <v>0</v>
      </c>
      <c r="K175" s="83">
        <f t="shared" ref="K175" si="333">K176+K177</f>
        <v>0</v>
      </c>
      <c r="L175" s="83">
        <f t="shared" ref="L175" si="334">L176+L177</f>
        <v>0</v>
      </c>
      <c r="M175" s="83">
        <f t="shared" ref="M175" si="335">M176+M177</f>
        <v>0</v>
      </c>
      <c r="N175" s="83">
        <f t="shared" ref="N175" si="336">N176+N177</f>
        <v>0</v>
      </c>
      <c r="O175" s="83">
        <f t="shared" ref="O175" si="337">O176+O177</f>
        <v>0</v>
      </c>
      <c r="P175" s="83">
        <f t="shared" ref="P175" si="338">P176+P177</f>
        <v>0</v>
      </c>
      <c r="Q175" s="83">
        <f t="shared" ref="Q175" si="339">Q176+Q177</f>
        <v>0</v>
      </c>
      <c r="R175" s="83">
        <f t="shared" ref="R175" si="340">R176+R177</f>
        <v>0</v>
      </c>
      <c r="S175" s="83">
        <f t="shared" ref="S175" si="341">S176+S177</f>
        <v>0</v>
      </c>
      <c r="T175" s="83">
        <f t="shared" ref="T175" si="342">T176+T177</f>
        <v>0</v>
      </c>
      <c r="U175" s="83">
        <f t="shared" ref="U175" si="343">U176+U177</f>
        <v>0</v>
      </c>
      <c r="V175" s="83">
        <f t="shared" ref="V175" si="344">V176+V177</f>
        <v>0</v>
      </c>
      <c r="W175" s="83">
        <f t="shared" ref="W175" si="345">W176+W177</f>
        <v>0</v>
      </c>
      <c r="X175" s="83">
        <f t="shared" ref="X175" si="346">X176+X177</f>
        <v>0</v>
      </c>
      <c r="Y175" s="83">
        <f t="shared" ref="Y175" si="347">Y176+Y177</f>
        <v>0</v>
      </c>
      <c r="Z175" s="83">
        <f t="shared" ref="Z175" si="348">Z176+Z177</f>
        <v>0</v>
      </c>
      <c r="AA175" s="83">
        <f t="shared" ref="AA175" si="349">AA176+AA177</f>
        <v>0</v>
      </c>
    </row>
    <row r="176" spans="2:27" hidden="1" x14ac:dyDescent="0.35">
      <c r="B176" s="69" t="s">
        <v>100</v>
      </c>
      <c r="C176" s="85">
        <f t="shared" ref="C176:AA176" si="350">C18</f>
        <v>1875000</v>
      </c>
      <c r="D176" s="85">
        <f t="shared" si="350"/>
        <v>0</v>
      </c>
      <c r="E176" s="85">
        <f t="shared" si="350"/>
        <v>0</v>
      </c>
      <c r="F176" s="85">
        <f t="shared" si="350"/>
        <v>0</v>
      </c>
      <c r="G176" s="85">
        <f t="shared" si="350"/>
        <v>0</v>
      </c>
      <c r="H176" s="85">
        <f t="shared" si="350"/>
        <v>0</v>
      </c>
      <c r="I176" s="85">
        <f t="shared" si="350"/>
        <v>0</v>
      </c>
      <c r="J176" s="85">
        <f t="shared" si="350"/>
        <v>0</v>
      </c>
      <c r="K176" s="85">
        <f t="shared" si="350"/>
        <v>0</v>
      </c>
      <c r="L176" s="85">
        <f t="shared" si="350"/>
        <v>0</v>
      </c>
      <c r="M176" s="85">
        <f t="shared" si="350"/>
        <v>0</v>
      </c>
      <c r="N176" s="85">
        <f t="shared" si="350"/>
        <v>0</v>
      </c>
      <c r="O176" s="85">
        <f t="shared" si="350"/>
        <v>0</v>
      </c>
      <c r="P176" s="85">
        <f t="shared" si="350"/>
        <v>0</v>
      </c>
      <c r="Q176" s="85">
        <f t="shared" si="350"/>
        <v>0</v>
      </c>
      <c r="R176" s="85">
        <f t="shared" si="350"/>
        <v>0</v>
      </c>
      <c r="S176" s="85">
        <f t="shared" si="350"/>
        <v>0</v>
      </c>
      <c r="T176" s="85">
        <f t="shared" si="350"/>
        <v>0</v>
      </c>
      <c r="U176" s="85">
        <f t="shared" si="350"/>
        <v>0</v>
      </c>
      <c r="V176" s="85">
        <f t="shared" si="350"/>
        <v>0</v>
      </c>
      <c r="W176" s="85">
        <f t="shared" si="350"/>
        <v>0</v>
      </c>
      <c r="X176" s="85">
        <f t="shared" si="350"/>
        <v>0</v>
      </c>
      <c r="Y176" s="85">
        <f t="shared" si="350"/>
        <v>0</v>
      </c>
      <c r="Z176" s="85">
        <f t="shared" si="350"/>
        <v>0</v>
      </c>
      <c r="AA176" s="85">
        <f t="shared" si="350"/>
        <v>0</v>
      </c>
    </row>
    <row r="177" spans="2:27" hidden="1" collapsed="1" x14ac:dyDescent="0.35">
      <c r="B177" s="69" t="s">
        <v>103</v>
      </c>
      <c r="C177" s="85">
        <f t="shared" ref="C177:E177" si="351">+SUM(C178:C189)</f>
        <v>0</v>
      </c>
      <c r="D177" s="85">
        <f t="shared" si="351"/>
        <v>2471524.9999999995</v>
      </c>
      <c r="E177" s="85">
        <f t="shared" si="351"/>
        <v>4422240.8124999991</v>
      </c>
      <c r="F177" s="85">
        <f t="shared" ref="F177" si="352">+SUM(F178:F189)</f>
        <v>5668204.1995249977</v>
      </c>
      <c r="G177" s="85">
        <f t="shared" ref="G177" si="353">+SUM(G178:G189)</f>
        <v>3930972.1824498107</v>
      </c>
      <c r="H177" s="85">
        <f t="shared" ref="H177" si="354">+SUM(H178:H189)</f>
        <v>0</v>
      </c>
      <c r="I177" s="85">
        <f t="shared" ref="I177" si="355">+SUM(I178:I189)</f>
        <v>0</v>
      </c>
      <c r="J177" s="85">
        <f t="shared" ref="J177" si="356">+SUM(J178:J189)</f>
        <v>0</v>
      </c>
      <c r="K177" s="85">
        <f t="shared" ref="K177" si="357">+SUM(K178:K189)</f>
        <v>0</v>
      </c>
      <c r="L177" s="85">
        <f t="shared" ref="L177" si="358">+SUM(L178:L189)</f>
        <v>0</v>
      </c>
      <c r="M177" s="85">
        <f t="shared" ref="M177" si="359">+SUM(M178:M189)</f>
        <v>0</v>
      </c>
      <c r="N177" s="85">
        <f t="shared" ref="N177" si="360">+SUM(N178:N189)</f>
        <v>0</v>
      </c>
      <c r="O177" s="85">
        <f t="shared" ref="O177" si="361">+SUM(O178:O189)</f>
        <v>0</v>
      </c>
      <c r="P177" s="85">
        <f t="shared" ref="P177" si="362">+SUM(P178:P189)</f>
        <v>0</v>
      </c>
      <c r="Q177" s="85">
        <f t="shared" ref="Q177" si="363">+SUM(Q178:Q189)</f>
        <v>0</v>
      </c>
      <c r="R177" s="85">
        <f t="shared" ref="R177" si="364">+SUM(R178:R189)</f>
        <v>0</v>
      </c>
      <c r="S177" s="85">
        <f t="shared" ref="S177" si="365">+SUM(S178:S189)</f>
        <v>0</v>
      </c>
      <c r="T177" s="85">
        <f t="shared" ref="T177" si="366">+SUM(T178:T189)</f>
        <v>0</v>
      </c>
      <c r="U177" s="85">
        <f t="shared" ref="U177" si="367">+SUM(U178:U189)</f>
        <v>0</v>
      </c>
      <c r="V177" s="85">
        <f t="shared" ref="V177" si="368">+SUM(V178:V189)</f>
        <v>0</v>
      </c>
      <c r="W177" s="85">
        <f t="shared" ref="W177" si="369">+SUM(W178:W189)</f>
        <v>0</v>
      </c>
      <c r="X177" s="85">
        <f t="shared" ref="X177" si="370">+SUM(X178:X189)</f>
        <v>0</v>
      </c>
      <c r="Y177" s="85">
        <f t="shared" ref="Y177" si="371">+SUM(Y178:Y189)</f>
        <v>0</v>
      </c>
      <c r="Z177" s="85">
        <f t="shared" ref="Z177" si="372">+SUM(Z178:Z189)</f>
        <v>0</v>
      </c>
      <c r="AA177" s="85">
        <f t="shared" ref="AA177" si="373">+SUM(AA178:AA189)</f>
        <v>0</v>
      </c>
    </row>
    <row r="178" spans="2:27" hidden="1" outlineLevel="1" x14ac:dyDescent="0.35">
      <c r="B178" s="126" t="s">
        <v>14</v>
      </c>
      <c r="C178" s="85">
        <f t="shared" ref="C178:AA178" si="374">C20</f>
        <v>0</v>
      </c>
      <c r="D178" s="85">
        <f t="shared" si="374"/>
        <v>2029999.9999999998</v>
      </c>
      <c r="E178" s="85">
        <f t="shared" si="374"/>
        <v>0</v>
      </c>
      <c r="F178" s="85">
        <f t="shared" si="374"/>
        <v>0</v>
      </c>
      <c r="G178" s="85">
        <f t="shared" si="374"/>
        <v>0</v>
      </c>
      <c r="H178" s="85">
        <f t="shared" si="374"/>
        <v>0</v>
      </c>
      <c r="I178" s="85">
        <f t="shared" si="374"/>
        <v>0</v>
      </c>
      <c r="J178" s="85">
        <f t="shared" si="374"/>
        <v>0</v>
      </c>
      <c r="K178" s="85">
        <f t="shared" si="374"/>
        <v>0</v>
      </c>
      <c r="L178" s="85">
        <f t="shared" si="374"/>
        <v>0</v>
      </c>
      <c r="M178" s="85">
        <f t="shared" si="374"/>
        <v>0</v>
      </c>
      <c r="N178" s="85">
        <f t="shared" si="374"/>
        <v>0</v>
      </c>
      <c r="O178" s="85">
        <f t="shared" si="374"/>
        <v>0</v>
      </c>
      <c r="P178" s="85">
        <f t="shared" si="374"/>
        <v>0</v>
      </c>
      <c r="Q178" s="85">
        <f t="shared" si="374"/>
        <v>0</v>
      </c>
      <c r="R178" s="85">
        <f t="shared" si="374"/>
        <v>0</v>
      </c>
      <c r="S178" s="85">
        <f t="shared" si="374"/>
        <v>0</v>
      </c>
      <c r="T178" s="85">
        <f t="shared" si="374"/>
        <v>0</v>
      </c>
      <c r="U178" s="85">
        <f t="shared" si="374"/>
        <v>0</v>
      </c>
      <c r="V178" s="85">
        <f t="shared" si="374"/>
        <v>0</v>
      </c>
      <c r="W178" s="85">
        <f t="shared" si="374"/>
        <v>0</v>
      </c>
      <c r="X178" s="85">
        <f t="shared" si="374"/>
        <v>0</v>
      </c>
      <c r="Y178" s="85">
        <f t="shared" si="374"/>
        <v>0</v>
      </c>
      <c r="Z178" s="85">
        <f t="shared" si="374"/>
        <v>0</v>
      </c>
      <c r="AA178" s="85">
        <f t="shared" si="374"/>
        <v>0</v>
      </c>
    </row>
    <row r="179" spans="2:27" hidden="1" outlineLevel="1" x14ac:dyDescent="0.35">
      <c r="B179" s="126" t="s">
        <v>15</v>
      </c>
      <c r="C179" s="85">
        <f t="shared" ref="C179:AA179" si="375">C21</f>
        <v>0</v>
      </c>
      <c r="D179" s="85">
        <f t="shared" si="375"/>
        <v>30449.999999999996</v>
      </c>
      <c r="E179" s="85">
        <f t="shared" si="375"/>
        <v>30906.749999999993</v>
      </c>
      <c r="F179" s="85">
        <f t="shared" si="375"/>
        <v>0</v>
      </c>
      <c r="G179" s="85">
        <f t="shared" si="375"/>
        <v>0</v>
      </c>
      <c r="H179" s="85">
        <f t="shared" si="375"/>
        <v>0</v>
      </c>
      <c r="I179" s="85">
        <f t="shared" si="375"/>
        <v>0</v>
      </c>
      <c r="J179" s="85">
        <f t="shared" si="375"/>
        <v>0</v>
      </c>
      <c r="K179" s="85">
        <f t="shared" si="375"/>
        <v>0</v>
      </c>
      <c r="L179" s="85">
        <f t="shared" si="375"/>
        <v>0</v>
      </c>
      <c r="M179" s="85">
        <f t="shared" si="375"/>
        <v>0</v>
      </c>
      <c r="N179" s="85">
        <f t="shared" si="375"/>
        <v>0</v>
      </c>
      <c r="O179" s="85">
        <f t="shared" si="375"/>
        <v>0</v>
      </c>
      <c r="P179" s="85">
        <f t="shared" si="375"/>
        <v>0</v>
      </c>
      <c r="Q179" s="85">
        <f t="shared" si="375"/>
        <v>0</v>
      </c>
      <c r="R179" s="85">
        <f t="shared" si="375"/>
        <v>0</v>
      </c>
      <c r="S179" s="85">
        <f t="shared" si="375"/>
        <v>0</v>
      </c>
      <c r="T179" s="85">
        <f t="shared" si="375"/>
        <v>0</v>
      </c>
      <c r="U179" s="85">
        <f t="shared" si="375"/>
        <v>0</v>
      </c>
      <c r="V179" s="85">
        <f t="shared" si="375"/>
        <v>0</v>
      </c>
      <c r="W179" s="85">
        <f t="shared" si="375"/>
        <v>0</v>
      </c>
      <c r="X179" s="85">
        <f t="shared" si="375"/>
        <v>0</v>
      </c>
      <c r="Y179" s="85">
        <f t="shared" si="375"/>
        <v>0</v>
      </c>
      <c r="Z179" s="85">
        <f t="shared" si="375"/>
        <v>0</v>
      </c>
      <c r="AA179" s="85">
        <f t="shared" si="375"/>
        <v>0</v>
      </c>
    </row>
    <row r="180" spans="2:27" hidden="1" outlineLevel="1" x14ac:dyDescent="0.35">
      <c r="B180" s="126" t="s">
        <v>32</v>
      </c>
      <c r="C180" s="85">
        <f>'Sensitivity 2'!$H$9*'Project Assumptions'!$E17*'Project Assumptions'!G17</f>
        <v>0</v>
      </c>
      <c r="D180" s="85">
        <f>'Sensitivity 2'!$H$9*'Project Assumptions'!$E17*'Project Assumptions'!H17*(1+'Sensitivity 2'!$D$5)^'Government Impact_baseline'!D$161</f>
        <v>411074.99999999994</v>
      </c>
      <c r="E180" s="85">
        <f>'Sensitivity 2'!$H$9*'Project Assumptions'!$E17*'Project Assumptions'!I17*(1+'Sensitivity 2'!$D$5)^'Government Impact_baseline'!E$161</f>
        <v>1808044.8749999995</v>
      </c>
      <c r="F180" s="85">
        <f>'Sensitivity 2'!$H$9*'Project Assumptions'!$E17*'Project Assumptions'!J17*(1+'Sensitivity 2'!$D$5)^'Government Impact_baseline'!F$161</f>
        <v>564666.32249999978</v>
      </c>
      <c r="G180" s="85">
        <f>'Sensitivity 2'!$H$9*'Project Assumptions'!$E17*'Project Assumptions'!K17*(1+'Sensitivity 2'!$D$5)^'Government Impact_baseline'!G$161</f>
        <v>0</v>
      </c>
      <c r="H180" s="85">
        <f t="shared" ref="H180:AA180" si="376">H22</f>
        <v>0</v>
      </c>
      <c r="I180" s="85">
        <f t="shared" si="376"/>
        <v>0</v>
      </c>
      <c r="J180" s="85">
        <f t="shared" si="376"/>
        <v>0</v>
      </c>
      <c r="K180" s="85">
        <f t="shared" si="376"/>
        <v>0</v>
      </c>
      <c r="L180" s="85">
        <f t="shared" si="376"/>
        <v>0</v>
      </c>
      <c r="M180" s="85">
        <f t="shared" si="376"/>
        <v>0</v>
      </c>
      <c r="N180" s="85">
        <f t="shared" si="376"/>
        <v>0</v>
      </c>
      <c r="O180" s="85">
        <f t="shared" si="376"/>
        <v>0</v>
      </c>
      <c r="P180" s="85">
        <f t="shared" si="376"/>
        <v>0</v>
      </c>
      <c r="Q180" s="85">
        <f t="shared" si="376"/>
        <v>0</v>
      </c>
      <c r="R180" s="85">
        <f t="shared" si="376"/>
        <v>0</v>
      </c>
      <c r="S180" s="85">
        <f t="shared" si="376"/>
        <v>0</v>
      </c>
      <c r="T180" s="85">
        <f t="shared" si="376"/>
        <v>0</v>
      </c>
      <c r="U180" s="85">
        <f t="shared" si="376"/>
        <v>0</v>
      </c>
      <c r="V180" s="85">
        <f t="shared" si="376"/>
        <v>0</v>
      </c>
      <c r="W180" s="85">
        <f t="shared" si="376"/>
        <v>0</v>
      </c>
      <c r="X180" s="85">
        <f t="shared" si="376"/>
        <v>0</v>
      </c>
      <c r="Y180" s="85">
        <f t="shared" si="376"/>
        <v>0</v>
      </c>
      <c r="Z180" s="85">
        <f t="shared" si="376"/>
        <v>0</v>
      </c>
      <c r="AA180" s="85">
        <f t="shared" si="376"/>
        <v>0</v>
      </c>
    </row>
    <row r="181" spans="2:27" hidden="1" outlineLevel="1" x14ac:dyDescent="0.35">
      <c r="B181" s="126" t="s">
        <v>31</v>
      </c>
      <c r="C181" s="85">
        <f>'Sensitivity 2'!$H$11*'Project Assumptions'!$E18*'Project Assumptions'!G18</f>
        <v>0</v>
      </c>
      <c r="D181" s="85">
        <f>'Sensitivity 2'!$H$11*'Project Assumptions'!$E18*'Project Assumptions'!H18*(1+'Sensitivity 2'!$D$5)^'Government Impact_baseline'!D$161</f>
        <v>0</v>
      </c>
      <c r="E181" s="85">
        <f>'Sensitivity 2'!$H$11*'Project Assumptions'!$E18*'Project Assumptions'!I18*(1+'Sensitivity 2'!$D$5)^'Government Impact_baseline'!E$161</f>
        <v>2511173.4374999995</v>
      </c>
      <c r="F181" s="85">
        <f>'Sensitivity 2'!$H$11*'Project Assumptions'!$E18*'Project Assumptions'!J18*(1+'Sensitivity 2'!$D$5)^'Government Impact_baseline'!F$161</f>
        <v>4587913.870312498</v>
      </c>
      <c r="G181" s="85">
        <f>'Sensitivity 2'!$H$11*'Project Assumptions'!$E18*'Project Assumptions'!K18*(1+'Sensitivity 2'!$D$5)^'Government Impact_baseline'!G$161</f>
        <v>3104488.3855781234</v>
      </c>
      <c r="H181" s="85">
        <f>'Sensitivity 2'!$H$11*'Project Assumptions'!$E18*'Project Assumptions'!L18*(1+'Sensitivity 2'!$D$5)^'Government Impact_baseline'!H$161</f>
        <v>0</v>
      </c>
      <c r="I181" s="85">
        <f t="shared" ref="I181:AA181" si="377">I23</f>
        <v>0</v>
      </c>
      <c r="J181" s="85">
        <f t="shared" si="377"/>
        <v>0</v>
      </c>
      <c r="K181" s="85">
        <f t="shared" si="377"/>
        <v>0</v>
      </c>
      <c r="L181" s="85">
        <f t="shared" si="377"/>
        <v>0</v>
      </c>
      <c r="M181" s="85">
        <f t="shared" si="377"/>
        <v>0</v>
      </c>
      <c r="N181" s="85">
        <f t="shared" si="377"/>
        <v>0</v>
      </c>
      <c r="O181" s="85">
        <f t="shared" si="377"/>
        <v>0</v>
      </c>
      <c r="P181" s="85">
        <f t="shared" si="377"/>
        <v>0</v>
      </c>
      <c r="Q181" s="85">
        <f t="shared" si="377"/>
        <v>0</v>
      </c>
      <c r="R181" s="85">
        <f t="shared" si="377"/>
        <v>0</v>
      </c>
      <c r="S181" s="85">
        <f t="shared" si="377"/>
        <v>0</v>
      </c>
      <c r="T181" s="85">
        <f t="shared" si="377"/>
        <v>0</v>
      </c>
      <c r="U181" s="85">
        <f t="shared" si="377"/>
        <v>0</v>
      </c>
      <c r="V181" s="85">
        <f t="shared" si="377"/>
        <v>0</v>
      </c>
      <c r="W181" s="85">
        <f t="shared" si="377"/>
        <v>0</v>
      </c>
      <c r="X181" s="85">
        <f t="shared" si="377"/>
        <v>0</v>
      </c>
      <c r="Y181" s="85">
        <f t="shared" si="377"/>
        <v>0</v>
      </c>
      <c r="Z181" s="85">
        <f t="shared" si="377"/>
        <v>0</v>
      </c>
      <c r="AA181" s="85">
        <f t="shared" si="377"/>
        <v>0</v>
      </c>
    </row>
    <row r="182" spans="2:27" hidden="1" outlineLevel="1" x14ac:dyDescent="0.35">
      <c r="B182" s="126" t="s">
        <v>35</v>
      </c>
      <c r="C182" s="85">
        <f t="shared" ref="C182:G182" si="378">C24</f>
        <v>0</v>
      </c>
      <c r="D182" s="85">
        <f t="shared" si="378"/>
        <v>0</v>
      </c>
      <c r="E182" s="85">
        <f t="shared" si="378"/>
        <v>72115.749999999985</v>
      </c>
      <c r="F182" s="85">
        <f t="shared" si="378"/>
        <v>131755.47524999996</v>
      </c>
      <c r="G182" s="85">
        <f t="shared" si="378"/>
        <v>89154.538252499959</v>
      </c>
      <c r="H182" s="85">
        <f t="shared" ref="H182:H189" si="379">H24</f>
        <v>0</v>
      </c>
      <c r="I182" s="85">
        <f t="shared" ref="I182:AA182" si="380">I24</f>
        <v>0</v>
      </c>
      <c r="J182" s="85">
        <f t="shared" si="380"/>
        <v>0</v>
      </c>
      <c r="K182" s="85">
        <f t="shared" si="380"/>
        <v>0</v>
      </c>
      <c r="L182" s="85">
        <f t="shared" si="380"/>
        <v>0</v>
      </c>
      <c r="M182" s="85">
        <f t="shared" si="380"/>
        <v>0</v>
      </c>
      <c r="N182" s="85">
        <f t="shared" si="380"/>
        <v>0</v>
      </c>
      <c r="O182" s="85">
        <f t="shared" si="380"/>
        <v>0</v>
      </c>
      <c r="P182" s="85">
        <f t="shared" si="380"/>
        <v>0</v>
      </c>
      <c r="Q182" s="85">
        <f t="shared" si="380"/>
        <v>0</v>
      </c>
      <c r="R182" s="85">
        <f t="shared" si="380"/>
        <v>0</v>
      </c>
      <c r="S182" s="85">
        <f t="shared" si="380"/>
        <v>0</v>
      </c>
      <c r="T182" s="85">
        <f t="shared" si="380"/>
        <v>0</v>
      </c>
      <c r="U182" s="85">
        <f t="shared" si="380"/>
        <v>0</v>
      </c>
      <c r="V182" s="85">
        <f t="shared" si="380"/>
        <v>0</v>
      </c>
      <c r="W182" s="85">
        <f t="shared" si="380"/>
        <v>0</v>
      </c>
      <c r="X182" s="85">
        <f t="shared" si="380"/>
        <v>0</v>
      </c>
      <c r="Y182" s="85">
        <f t="shared" si="380"/>
        <v>0</v>
      </c>
      <c r="Z182" s="85">
        <f t="shared" si="380"/>
        <v>0</v>
      </c>
      <c r="AA182" s="85">
        <f t="shared" si="380"/>
        <v>0</v>
      </c>
    </row>
    <row r="183" spans="2:27" hidden="1" outlineLevel="1" x14ac:dyDescent="0.35">
      <c r="B183" s="126" t="s">
        <v>29</v>
      </c>
      <c r="C183" s="85">
        <f t="shared" ref="C183:G189" si="381">C25</f>
        <v>0</v>
      </c>
      <c r="D183" s="85">
        <f t="shared" si="381"/>
        <v>0</v>
      </c>
      <c r="E183" s="85">
        <f t="shared" si="381"/>
        <v>0</v>
      </c>
      <c r="F183" s="85">
        <f t="shared" si="381"/>
        <v>210808.76039999991</v>
      </c>
      <c r="G183" s="85">
        <f t="shared" si="381"/>
        <v>499265.4142139997</v>
      </c>
      <c r="H183" s="85">
        <f t="shared" si="379"/>
        <v>0</v>
      </c>
      <c r="I183" s="85">
        <f t="shared" ref="I183:AA183" si="382">I25</f>
        <v>0</v>
      </c>
      <c r="J183" s="85">
        <f t="shared" si="382"/>
        <v>0</v>
      </c>
      <c r="K183" s="85">
        <f t="shared" si="382"/>
        <v>0</v>
      </c>
      <c r="L183" s="85">
        <f t="shared" si="382"/>
        <v>0</v>
      </c>
      <c r="M183" s="85">
        <f t="shared" si="382"/>
        <v>0</v>
      </c>
      <c r="N183" s="85">
        <f t="shared" si="382"/>
        <v>0</v>
      </c>
      <c r="O183" s="85">
        <f t="shared" si="382"/>
        <v>0</v>
      </c>
      <c r="P183" s="85">
        <f t="shared" si="382"/>
        <v>0</v>
      </c>
      <c r="Q183" s="85">
        <f t="shared" si="382"/>
        <v>0</v>
      </c>
      <c r="R183" s="85">
        <f t="shared" si="382"/>
        <v>0</v>
      </c>
      <c r="S183" s="85">
        <f t="shared" si="382"/>
        <v>0</v>
      </c>
      <c r="T183" s="85">
        <f t="shared" si="382"/>
        <v>0</v>
      </c>
      <c r="U183" s="85">
        <f t="shared" si="382"/>
        <v>0</v>
      </c>
      <c r="V183" s="85">
        <f t="shared" si="382"/>
        <v>0</v>
      </c>
      <c r="W183" s="85">
        <f t="shared" si="382"/>
        <v>0</v>
      </c>
      <c r="X183" s="85">
        <f t="shared" si="382"/>
        <v>0</v>
      </c>
      <c r="Y183" s="85">
        <f t="shared" si="382"/>
        <v>0</v>
      </c>
      <c r="Z183" s="85">
        <f t="shared" si="382"/>
        <v>0</v>
      </c>
      <c r="AA183" s="85">
        <f t="shared" si="382"/>
        <v>0</v>
      </c>
    </row>
    <row r="184" spans="2:27" hidden="1" outlineLevel="1" x14ac:dyDescent="0.35">
      <c r="B184" s="126" t="s">
        <v>30</v>
      </c>
      <c r="C184" s="85">
        <f t="shared" si="381"/>
        <v>0</v>
      </c>
      <c r="D184" s="85">
        <f t="shared" si="381"/>
        <v>0</v>
      </c>
      <c r="E184" s="85">
        <f t="shared" si="381"/>
        <v>0</v>
      </c>
      <c r="F184" s="85">
        <f t="shared" si="381"/>
        <v>46009.848499999986</v>
      </c>
      <c r="G184" s="85">
        <f t="shared" si="381"/>
        <v>70049.994341249956</v>
      </c>
      <c r="H184" s="85">
        <f t="shared" si="379"/>
        <v>0</v>
      </c>
      <c r="I184" s="85">
        <f t="shared" ref="I184:AA184" si="383">I26</f>
        <v>0</v>
      </c>
      <c r="J184" s="85">
        <f t="shared" si="383"/>
        <v>0</v>
      </c>
      <c r="K184" s="85">
        <f t="shared" si="383"/>
        <v>0</v>
      </c>
      <c r="L184" s="85">
        <f t="shared" si="383"/>
        <v>0</v>
      </c>
      <c r="M184" s="85">
        <f t="shared" si="383"/>
        <v>0</v>
      </c>
      <c r="N184" s="85">
        <f t="shared" si="383"/>
        <v>0</v>
      </c>
      <c r="O184" s="85">
        <f t="shared" si="383"/>
        <v>0</v>
      </c>
      <c r="P184" s="85">
        <f t="shared" si="383"/>
        <v>0</v>
      </c>
      <c r="Q184" s="85">
        <f t="shared" si="383"/>
        <v>0</v>
      </c>
      <c r="R184" s="85">
        <f t="shared" si="383"/>
        <v>0</v>
      </c>
      <c r="S184" s="85">
        <f t="shared" si="383"/>
        <v>0</v>
      </c>
      <c r="T184" s="85">
        <f t="shared" si="383"/>
        <v>0</v>
      </c>
      <c r="U184" s="85">
        <f t="shared" si="383"/>
        <v>0</v>
      </c>
      <c r="V184" s="85">
        <f t="shared" si="383"/>
        <v>0</v>
      </c>
      <c r="W184" s="85">
        <f t="shared" si="383"/>
        <v>0</v>
      </c>
      <c r="X184" s="85">
        <f t="shared" si="383"/>
        <v>0</v>
      </c>
      <c r="Y184" s="85">
        <f t="shared" si="383"/>
        <v>0</v>
      </c>
      <c r="Z184" s="85">
        <f t="shared" si="383"/>
        <v>0</v>
      </c>
      <c r="AA184" s="85">
        <f t="shared" si="383"/>
        <v>0</v>
      </c>
    </row>
    <row r="185" spans="2:27" hidden="1" outlineLevel="1" x14ac:dyDescent="0.35">
      <c r="B185" s="126" t="s">
        <v>21</v>
      </c>
      <c r="C185" s="85">
        <f t="shared" si="381"/>
        <v>0</v>
      </c>
      <c r="D185" s="85">
        <f t="shared" si="381"/>
        <v>0</v>
      </c>
      <c r="E185" s="85">
        <f t="shared" si="381"/>
        <v>0</v>
      </c>
      <c r="F185" s="85">
        <f t="shared" si="381"/>
        <v>13802.954549999995</v>
      </c>
      <c r="G185" s="85">
        <f t="shared" si="381"/>
        <v>32689.997359249977</v>
      </c>
      <c r="H185" s="85">
        <f t="shared" si="379"/>
        <v>0</v>
      </c>
      <c r="I185" s="85">
        <f t="shared" ref="I185:AA185" si="384">I27</f>
        <v>0</v>
      </c>
      <c r="J185" s="85">
        <f t="shared" si="384"/>
        <v>0</v>
      </c>
      <c r="K185" s="85">
        <f t="shared" si="384"/>
        <v>0</v>
      </c>
      <c r="L185" s="85">
        <f t="shared" si="384"/>
        <v>0</v>
      </c>
      <c r="M185" s="85">
        <f t="shared" si="384"/>
        <v>0</v>
      </c>
      <c r="N185" s="85">
        <f t="shared" si="384"/>
        <v>0</v>
      </c>
      <c r="O185" s="85">
        <f t="shared" si="384"/>
        <v>0</v>
      </c>
      <c r="P185" s="85">
        <f t="shared" si="384"/>
        <v>0</v>
      </c>
      <c r="Q185" s="85">
        <f t="shared" si="384"/>
        <v>0</v>
      </c>
      <c r="R185" s="85">
        <f t="shared" si="384"/>
        <v>0</v>
      </c>
      <c r="S185" s="85">
        <f t="shared" si="384"/>
        <v>0</v>
      </c>
      <c r="T185" s="85">
        <f t="shared" si="384"/>
        <v>0</v>
      </c>
      <c r="U185" s="85">
        <f t="shared" si="384"/>
        <v>0</v>
      </c>
      <c r="V185" s="85">
        <f t="shared" si="384"/>
        <v>0</v>
      </c>
      <c r="W185" s="85">
        <f t="shared" si="384"/>
        <v>0</v>
      </c>
      <c r="X185" s="85">
        <f t="shared" si="384"/>
        <v>0</v>
      </c>
      <c r="Y185" s="85">
        <f t="shared" si="384"/>
        <v>0</v>
      </c>
      <c r="Z185" s="85">
        <f t="shared" si="384"/>
        <v>0</v>
      </c>
      <c r="AA185" s="85">
        <f t="shared" si="384"/>
        <v>0</v>
      </c>
    </row>
    <row r="186" spans="2:27" hidden="1" outlineLevel="1" x14ac:dyDescent="0.35">
      <c r="B186" s="126" t="s">
        <v>33</v>
      </c>
      <c r="C186" s="85">
        <f t="shared" si="381"/>
        <v>0</v>
      </c>
      <c r="D186" s="85">
        <f t="shared" si="381"/>
        <v>0</v>
      </c>
      <c r="E186" s="85">
        <f t="shared" si="381"/>
        <v>0</v>
      </c>
      <c r="F186" s="85">
        <f t="shared" si="381"/>
        <v>3764.4421499999985</v>
      </c>
      <c r="G186" s="85">
        <f t="shared" si="381"/>
        <v>8915.4538252499951</v>
      </c>
      <c r="H186" s="85">
        <f t="shared" si="379"/>
        <v>0</v>
      </c>
      <c r="I186" s="85">
        <f t="shared" ref="I186:AA186" si="385">I28</f>
        <v>0</v>
      </c>
      <c r="J186" s="85">
        <f t="shared" si="385"/>
        <v>0</v>
      </c>
      <c r="K186" s="85">
        <f t="shared" si="385"/>
        <v>0</v>
      </c>
      <c r="L186" s="85">
        <f t="shared" si="385"/>
        <v>0</v>
      </c>
      <c r="M186" s="85">
        <f t="shared" si="385"/>
        <v>0</v>
      </c>
      <c r="N186" s="85">
        <f t="shared" si="385"/>
        <v>0</v>
      </c>
      <c r="O186" s="85">
        <f t="shared" si="385"/>
        <v>0</v>
      </c>
      <c r="P186" s="85">
        <f t="shared" si="385"/>
        <v>0</v>
      </c>
      <c r="Q186" s="85">
        <f t="shared" si="385"/>
        <v>0</v>
      </c>
      <c r="R186" s="85">
        <f t="shared" si="385"/>
        <v>0</v>
      </c>
      <c r="S186" s="85">
        <f t="shared" si="385"/>
        <v>0</v>
      </c>
      <c r="T186" s="85">
        <f t="shared" si="385"/>
        <v>0</v>
      </c>
      <c r="U186" s="85">
        <f t="shared" si="385"/>
        <v>0</v>
      </c>
      <c r="V186" s="85">
        <f t="shared" si="385"/>
        <v>0</v>
      </c>
      <c r="W186" s="85">
        <f t="shared" si="385"/>
        <v>0</v>
      </c>
      <c r="X186" s="85">
        <f t="shared" si="385"/>
        <v>0</v>
      </c>
      <c r="Y186" s="85">
        <f t="shared" si="385"/>
        <v>0</v>
      </c>
      <c r="Z186" s="85">
        <f t="shared" si="385"/>
        <v>0</v>
      </c>
      <c r="AA186" s="85">
        <f t="shared" si="385"/>
        <v>0</v>
      </c>
    </row>
    <row r="187" spans="2:27" hidden="1" outlineLevel="1" x14ac:dyDescent="0.35">
      <c r="B187" s="126" t="s">
        <v>34</v>
      </c>
      <c r="C187" s="85">
        <f t="shared" si="381"/>
        <v>0</v>
      </c>
      <c r="D187" s="85">
        <f t="shared" si="381"/>
        <v>0</v>
      </c>
      <c r="E187" s="85">
        <f t="shared" si="381"/>
        <v>0</v>
      </c>
      <c r="F187" s="85">
        <f t="shared" si="381"/>
        <v>7528.884299999997</v>
      </c>
      <c r="G187" s="85">
        <f t="shared" si="381"/>
        <v>17830.90765049999</v>
      </c>
      <c r="H187" s="85">
        <f t="shared" si="379"/>
        <v>0</v>
      </c>
      <c r="I187" s="85">
        <f t="shared" ref="I187:AA187" si="386">I29</f>
        <v>0</v>
      </c>
      <c r="J187" s="85">
        <f t="shared" si="386"/>
        <v>0</v>
      </c>
      <c r="K187" s="85">
        <f t="shared" si="386"/>
        <v>0</v>
      </c>
      <c r="L187" s="85">
        <f t="shared" si="386"/>
        <v>0</v>
      </c>
      <c r="M187" s="85">
        <f t="shared" si="386"/>
        <v>0</v>
      </c>
      <c r="N187" s="85">
        <f t="shared" si="386"/>
        <v>0</v>
      </c>
      <c r="O187" s="85">
        <f t="shared" si="386"/>
        <v>0</v>
      </c>
      <c r="P187" s="85">
        <f t="shared" si="386"/>
        <v>0</v>
      </c>
      <c r="Q187" s="85">
        <f t="shared" si="386"/>
        <v>0</v>
      </c>
      <c r="R187" s="85">
        <f t="shared" si="386"/>
        <v>0</v>
      </c>
      <c r="S187" s="85">
        <f t="shared" si="386"/>
        <v>0</v>
      </c>
      <c r="T187" s="85">
        <f t="shared" si="386"/>
        <v>0</v>
      </c>
      <c r="U187" s="85">
        <f t="shared" si="386"/>
        <v>0</v>
      </c>
      <c r="V187" s="85">
        <f t="shared" si="386"/>
        <v>0</v>
      </c>
      <c r="W187" s="85">
        <f t="shared" si="386"/>
        <v>0</v>
      </c>
      <c r="X187" s="85">
        <f t="shared" si="386"/>
        <v>0</v>
      </c>
      <c r="Y187" s="85">
        <f t="shared" si="386"/>
        <v>0</v>
      </c>
      <c r="Z187" s="85">
        <f t="shared" si="386"/>
        <v>0</v>
      </c>
      <c r="AA187" s="85">
        <f t="shared" si="386"/>
        <v>0</v>
      </c>
    </row>
    <row r="188" spans="2:27" hidden="1" outlineLevel="1" x14ac:dyDescent="0.35">
      <c r="B188" s="126" t="s">
        <v>38</v>
      </c>
      <c r="C188" s="85">
        <f t="shared" si="381"/>
        <v>0</v>
      </c>
      <c r="D188" s="85">
        <f t="shared" si="381"/>
        <v>0</v>
      </c>
      <c r="E188" s="85">
        <f t="shared" si="381"/>
        <v>0</v>
      </c>
      <c r="F188" s="85">
        <f t="shared" si="381"/>
        <v>101953.64156249996</v>
      </c>
      <c r="G188" s="85">
        <f t="shared" si="381"/>
        <v>103482.94618593744</v>
      </c>
      <c r="H188" s="85">
        <f t="shared" si="379"/>
        <v>0</v>
      </c>
      <c r="I188" s="85">
        <f t="shared" ref="I188:AA188" si="387">I30</f>
        <v>0</v>
      </c>
      <c r="J188" s="85">
        <f t="shared" si="387"/>
        <v>0</v>
      </c>
      <c r="K188" s="85">
        <f t="shared" si="387"/>
        <v>0</v>
      </c>
      <c r="L188" s="85">
        <f t="shared" si="387"/>
        <v>0</v>
      </c>
      <c r="M188" s="85">
        <f t="shared" si="387"/>
        <v>0</v>
      </c>
      <c r="N188" s="85">
        <f t="shared" si="387"/>
        <v>0</v>
      </c>
      <c r="O188" s="85">
        <f t="shared" si="387"/>
        <v>0</v>
      </c>
      <c r="P188" s="85">
        <f t="shared" si="387"/>
        <v>0</v>
      </c>
      <c r="Q188" s="85">
        <f t="shared" si="387"/>
        <v>0</v>
      </c>
      <c r="R188" s="85">
        <f t="shared" si="387"/>
        <v>0</v>
      </c>
      <c r="S188" s="85">
        <f t="shared" si="387"/>
        <v>0</v>
      </c>
      <c r="T188" s="85">
        <f t="shared" si="387"/>
        <v>0</v>
      </c>
      <c r="U188" s="85">
        <f t="shared" si="387"/>
        <v>0</v>
      </c>
      <c r="V188" s="85">
        <f t="shared" si="387"/>
        <v>0</v>
      </c>
      <c r="W188" s="85">
        <f t="shared" si="387"/>
        <v>0</v>
      </c>
      <c r="X188" s="85">
        <f t="shared" si="387"/>
        <v>0</v>
      </c>
      <c r="Y188" s="85">
        <f t="shared" si="387"/>
        <v>0</v>
      </c>
      <c r="Z188" s="85">
        <f t="shared" si="387"/>
        <v>0</v>
      </c>
      <c r="AA188" s="85">
        <f t="shared" si="387"/>
        <v>0</v>
      </c>
    </row>
    <row r="189" spans="2:27" hidden="1" outlineLevel="1" x14ac:dyDescent="0.35">
      <c r="B189" s="126" t="s">
        <v>50</v>
      </c>
      <c r="C189" s="85">
        <f t="shared" si="381"/>
        <v>0</v>
      </c>
      <c r="D189" s="85">
        <f t="shared" si="381"/>
        <v>0</v>
      </c>
      <c r="E189" s="85">
        <f t="shared" si="381"/>
        <v>0</v>
      </c>
      <c r="F189" s="85">
        <f t="shared" si="381"/>
        <v>0</v>
      </c>
      <c r="G189" s="85">
        <f t="shared" si="381"/>
        <v>5094.5450429999973</v>
      </c>
      <c r="H189" s="85">
        <f t="shared" si="379"/>
        <v>0</v>
      </c>
      <c r="I189" s="85">
        <f t="shared" ref="I189:AA189" si="388">I31</f>
        <v>0</v>
      </c>
      <c r="J189" s="85">
        <f t="shared" si="388"/>
        <v>0</v>
      </c>
      <c r="K189" s="85">
        <f t="shared" si="388"/>
        <v>0</v>
      </c>
      <c r="L189" s="85">
        <f t="shared" si="388"/>
        <v>0</v>
      </c>
      <c r="M189" s="85">
        <f t="shared" si="388"/>
        <v>0</v>
      </c>
      <c r="N189" s="85">
        <f t="shared" si="388"/>
        <v>0</v>
      </c>
      <c r="O189" s="85">
        <f t="shared" si="388"/>
        <v>0</v>
      </c>
      <c r="P189" s="85">
        <f t="shared" si="388"/>
        <v>0</v>
      </c>
      <c r="Q189" s="85">
        <f t="shared" si="388"/>
        <v>0</v>
      </c>
      <c r="R189" s="85">
        <f t="shared" si="388"/>
        <v>0</v>
      </c>
      <c r="S189" s="85">
        <f t="shared" si="388"/>
        <v>0</v>
      </c>
      <c r="T189" s="85">
        <f t="shared" si="388"/>
        <v>0</v>
      </c>
      <c r="U189" s="85">
        <f t="shared" si="388"/>
        <v>0</v>
      </c>
      <c r="V189" s="85">
        <f t="shared" si="388"/>
        <v>0</v>
      </c>
      <c r="W189" s="85">
        <f t="shared" si="388"/>
        <v>0</v>
      </c>
      <c r="X189" s="85">
        <f t="shared" si="388"/>
        <v>0</v>
      </c>
      <c r="Y189" s="85">
        <f t="shared" si="388"/>
        <v>0</v>
      </c>
      <c r="Z189" s="85">
        <f t="shared" si="388"/>
        <v>0</v>
      </c>
      <c r="AA189" s="85">
        <f t="shared" si="388"/>
        <v>0</v>
      </c>
    </row>
    <row r="190" spans="2:27" hidden="1" x14ac:dyDescent="0.35">
      <c r="B190" s="70" t="s">
        <v>123</v>
      </c>
      <c r="C190" s="88">
        <f t="shared" ref="C190:AA190" si="389">C162-C164-C175</f>
        <v>-1875000</v>
      </c>
      <c r="D190" s="88">
        <f t="shared" si="389"/>
        <v>-2659024.9999999995</v>
      </c>
      <c r="E190" s="88">
        <f t="shared" si="389"/>
        <v>-4856893.3124999991</v>
      </c>
      <c r="F190" s="88">
        <f t="shared" si="389"/>
        <v>-7178176.2961349972</v>
      </c>
      <c r="G190" s="88">
        <f t="shared" si="389"/>
        <v>-7945036.9760139091</v>
      </c>
      <c r="H190" s="88">
        <f t="shared" si="389"/>
        <v>-2476378.2078251997</v>
      </c>
      <c r="I190" s="88">
        <f t="shared" si="389"/>
        <v>-2399703.8266784917</v>
      </c>
      <c r="J190" s="88">
        <f t="shared" si="389"/>
        <v>-2323256.9254791681</v>
      </c>
      <c r="K190" s="88">
        <f t="shared" si="389"/>
        <v>-2247040.9164264407</v>
      </c>
      <c r="L190" s="88">
        <f t="shared" si="389"/>
        <v>-2171059.2629025076</v>
      </c>
      <c r="M190" s="88">
        <f t="shared" si="389"/>
        <v>-2095315.4802403012</v>
      </c>
      <c r="N190" s="88">
        <f t="shared" si="389"/>
        <v>-2019813.1365027474</v>
      </c>
      <c r="O190" s="88">
        <f t="shared" si="389"/>
        <v>-1944555.8532737158</v>
      </c>
      <c r="P190" s="88">
        <f t="shared" si="389"/>
        <v>-2472334.3721905053</v>
      </c>
      <c r="Q190" s="88">
        <f t="shared" si="389"/>
        <v>-4733723.9939728081</v>
      </c>
      <c r="R190" s="88">
        <f t="shared" si="389"/>
        <v>-1720291.4022341846</v>
      </c>
      <c r="S190" s="88">
        <f t="shared" si="389"/>
        <v>-1646051.6756494672</v>
      </c>
      <c r="T190" s="88">
        <f t="shared" si="389"/>
        <v>-1572075.9488305645</v>
      </c>
      <c r="U190" s="88">
        <f t="shared" si="389"/>
        <v>-1498368.1817739638</v>
      </c>
      <c r="V190" s="88">
        <f t="shared" si="389"/>
        <v>-1424932.3938761</v>
      </c>
      <c r="W190" s="88">
        <f t="shared" si="389"/>
        <v>-1351772.6648243535</v>
      </c>
      <c r="X190" s="88">
        <f t="shared" si="389"/>
        <v>-1278893.1355014166</v>
      </c>
      <c r="Y190" s="88">
        <f t="shared" si="389"/>
        <v>-1206298.0089032212</v>
      </c>
      <c r="Z190" s="88">
        <f t="shared" si="389"/>
        <v>-1133991.5510706385</v>
      </c>
      <c r="AA190" s="88">
        <f t="shared" si="389"/>
        <v>-1061978.041062779</v>
      </c>
    </row>
    <row r="191" spans="2:27" hidden="1" x14ac:dyDescent="0.35"/>
    <row r="192" spans="2:27" hidden="1" x14ac:dyDescent="0.35">
      <c r="B192" s="3" t="s">
        <v>144</v>
      </c>
    </row>
    <row r="193" spans="1:27" hidden="1" x14ac:dyDescent="0.35">
      <c r="B193" t="s">
        <v>148</v>
      </c>
      <c r="C193" s="127">
        <f t="shared" ref="C193" si="390">+C194-C196</f>
        <v>1875000</v>
      </c>
      <c r="D193" s="127">
        <f t="shared" ref="D193" si="391">+C193+D194-D196</f>
        <v>4346525</v>
      </c>
      <c r="E193" s="127">
        <f t="shared" ref="E193" si="392">+D193+E194-E196</f>
        <v>8768765.8125</v>
      </c>
      <c r="F193" s="127">
        <f t="shared" ref="F193" si="393">+E193+F194-F196</f>
        <v>14436970.012024999</v>
      </c>
      <c r="G193" s="127">
        <f t="shared" ref="G193" si="394">+F193+G194-G196</f>
        <v>18367942.194474809</v>
      </c>
      <c r="H193" s="127">
        <f t="shared" ref="H193" si="395">+G193+H194-H196</f>
        <v>17449545.08475107</v>
      </c>
      <c r="I193" s="127">
        <f t="shared" ref="I193" si="396">+H193+I194-I196</f>
        <v>16531147.975027328</v>
      </c>
      <c r="J193" s="127">
        <f t="shared" ref="J193" si="397">+I193+J194-J196</f>
        <v>15612750.865303587</v>
      </c>
      <c r="K193" s="127">
        <f t="shared" ref="K193" si="398">+J193+K194-K196</f>
        <v>14694353.755579846</v>
      </c>
      <c r="L193" s="127">
        <f t="shared" ref="L193" si="399">+K193+L194-L196</f>
        <v>13775956.645856105</v>
      </c>
      <c r="M193" s="127">
        <f t="shared" ref="M193" si="400">+L193+M194-M196</f>
        <v>12857559.536132364</v>
      </c>
      <c r="N193" s="127">
        <f t="shared" ref="N193" si="401">+M193+N194-N196</f>
        <v>11939162.426408622</v>
      </c>
      <c r="O193" s="127">
        <f t="shared" ref="O193" si="402">+N193+O194-O196</f>
        <v>11020765.316684881</v>
      </c>
      <c r="P193" s="127">
        <f t="shared" ref="P193" si="403">+O193+P194-P196</f>
        <v>10102368.20696114</v>
      </c>
      <c r="Q193" s="127">
        <f t="shared" ref="Q193" si="404">+P193+Q194-Q196</f>
        <v>9183971.0972373988</v>
      </c>
      <c r="R193" s="127">
        <f t="shared" ref="R193" si="405">+Q193+R194-R196</f>
        <v>8265573.9875136586</v>
      </c>
      <c r="S193" s="127">
        <f t="shared" ref="S193" si="406">+R193+S194-S196</f>
        <v>7347176.8777899183</v>
      </c>
      <c r="T193" s="127">
        <f t="shared" ref="T193" si="407">+S193+T194-T196</f>
        <v>6428779.7680661781</v>
      </c>
      <c r="U193" s="127">
        <f t="shared" ref="U193" si="408">+T193+U194-U196</f>
        <v>5510382.6583424378</v>
      </c>
      <c r="V193" s="127">
        <f t="shared" ref="V193" si="409">+U193+V194-V196</f>
        <v>4591985.5486186976</v>
      </c>
      <c r="W193" s="127">
        <f t="shared" ref="W193" si="410">+V193+W194-W196</f>
        <v>3673588.4388949573</v>
      </c>
      <c r="X193" s="127">
        <f t="shared" ref="X193" si="411">+W193+X194-X196</f>
        <v>2755191.329171217</v>
      </c>
      <c r="Y193" s="127">
        <f t="shared" ref="Y193" si="412">+X193+Y194-Y196</f>
        <v>1836794.2194474766</v>
      </c>
      <c r="Z193" s="127">
        <f>ROUND(Y193+Z194-Z196,1)</f>
        <v>918397.1</v>
      </c>
      <c r="AA193" s="127">
        <f>ROUND(Z193+AA194-AA196,1)</f>
        <v>0</v>
      </c>
    </row>
    <row r="194" spans="1:27" hidden="1" x14ac:dyDescent="0.35">
      <c r="B194" t="s">
        <v>142</v>
      </c>
      <c r="C194" s="127">
        <f t="shared" ref="C194:AA194" si="413">+C175</f>
        <v>1875000</v>
      </c>
      <c r="D194" s="127">
        <f t="shared" si="413"/>
        <v>2471524.9999999995</v>
      </c>
      <c r="E194" s="127">
        <f t="shared" si="413"/>
        <v>4422240.8124999991</v>
      </c>
      <c r="F194" s="127">
        <f t="shared" si="413"/>
        <v>5668204.1995249977</v>
      </c>
      <c r="G194" s="127">
        <f t="shared" si="413"/>
        <v>3930972.1824498107</v>
      </c>
      <c r="H194" s="127">
        <f t="shared" si="413"/>
        <v>0</v>
      </c>
      <c r="I194" s="127">
        <f t="shared" si="413"/>
        <v>0</v>
      </c>
      <c r="J194" s="127">
        <f t="shared" si="413"/>
        <v>0</v>
      </c>
      <c r="K194" s="127">
        <f t="shared" si="413"/>
        <v>0</v>
      </c>
      <c r="L194" s="127">
        <f t="shared" si="413"/>
        <v>0</v>
      </c>
      <c r="M194" s="127">
        <f t="shared" si="413"/>
        <v>0</v>
      </c>
      <c r="N194" s="127">
        <f t="shared" si="413"/>
        <v>0</v>
      </c>
      <c r="O194" s="127">
        <f t="shared" si="413"/>
        <v>0</v>
      </c>
      <c r="P194" s="127">
        <f t="shared" si="413"/>
        <v>0</v>
      </c>
      <c r="Q194" s="127">
        <f t="shared" si="413"/>
        <v>0</v>
      </c>
      <c r="R194" s="127">
        <f t="shared" si="413"/>
        <v>0</v>
      </c>
      <c r="S194" s="127">
        <f t="shared" si="413"/>
        <v>0</v>
      </c>
      <c r="T194" s="127">
        <f t="shared" si="413"/>
        <v>0</v>
      </c>
      <c r="U194" s="127">
        <f t="shared" si="413"/>
        <v>0</v>
      </c>
      <c r="V194" s="127">
        <f t="shared" si="413"/>
        <v>0</v>
      </c>
      <c r="W194" s="127">
        <f t="shared" si="413"/>
        <v>0</v>
      </c>
      <c r="X194" s="127">
        <f t="shared" si="413"/>
        <v>0</v>
      </c>
      <c r="Y194" s="127">
        <f t="shared" si="413"/>
        <v>0</v>
      </c>
      <c r="Z194" s="127">
        <f t="shared" si="413"/>
        <v>0</v>
      </c>
      <c r="AA194" s="127">
        <f t="shared" si="413"/>
        <v>0</v>
      </c>
    </row>
    <row r="195" spans="1:27" hidden="1" x14ac:dyDescent="0.35">
      <c r="B195" t="s">
        <v>145</v>
      </c>
      <c r="C195" s="127">
        <v>0</v>
      </c>
      <c r="D195" s="127">
        <f>+C193*'Sensitivity 2'!$D$3</f>
        <v>187500</v>
      </c>
      <c r="E195" s="127">
        <f>+D193*'Sensitivity 2'!$D$3</f>
        <v>434652.5</v>
      </c>
      <c r="F195" s="127">
        <f>+E193*'Sensitivity 2'!$D$3</f>
        <v>876876.58125000005</v>
      </c>
      <c r="G195" s="127">
        <f>+F193*'Sensitivity 2'!$D$3</f>
        <v>1443697.0012025</v>
      </c>
      <c r="H195" s="127">
        <f>+G193*'Sensitivity 2'!$D$3</f>
        <v>1836794.219447481</v>
      </c>
      <c r="I195" s="127">
        <f>+H193*'Sensitivity 2'!$D$3</f>
        <v>1744954.5084751071</v>
      </c>
      <c r="J195" s="127">
        <f>+I193*'Sensitivity 2'!$D$3</f>
        <v>1653114.7975027328</v>
      </c>
      <c r="K195" s="127">
        <f>+J193*'Sensitivity 2'!$D$3</f>
        <v>1561275.0865303588</v>
      </c>
      <c r="L195" s="127">
        <f>+K193*'Sensitivity 2'!$D$3</f>
        <v>1469435.3755579847</v>
      </c>
      <c r="M195" s="127">
        <f>+L193*'Sensitivity 2'!$D$3</f>
        <v>1377595.6645856106</v>
      </c>
      <c r="N195" s="127">
        <f>+M193*'Sensitivity 2'!$D$3</f>
        <v>1285755.9536132365</v>
      </c>
      <c r="O195" s="127">
        <f>+N193*'Sensitivity 2'!$D$3</f>
        <v>1193916.2426408622</v>
      </c>
      <c r="P195" s="127">
        <f>+O193*'Sensitivity 2'!$D$3</f>
        <v>1102076.5316684882</v>
      </c>
      <c r="Q195" s="127">
        <f>+P193*'Sensitivity 2'!$D$3</f>
        <v>1010236.8206961141</v>
      </c>
      <c r="R195" s="127">
        <f>+Q193*'Sensitivity 2'!$D$3</f>
        <v>918397.10972373991</v>
      </c>
      <c r="S195" s="127">
        <f>+R193*'Sensitivity 2'!$D$3</f>
        <v>826557.39875136595</v>
      </c>
      <c r="T195" s="127">
        <f>+S193*'Sensitivity 2'!$D$3</f>
        <v>734717.68777899188</v>
      </c>
      <c r="U195" s="127">
        <f>+T193*'Sensitivity 2'!$D$3</f>
        <v>642877.97680661781</v>
      </c>
      <c r="V195" s="127">
        <f>+U193*'Sensitivity 2'!$D$3</f>
        <v>551038.26583424385</v>
      </c>
      <c r="W195" s="127">
        <f>+V193*'Sensitivity 2'!$D$3</f>
        <v>459198.55486186978</v>
      </c>
      <c r="X195" s="127">
        <f>+W193*'Sensitivity 2'!$D$3</f>
        <v>367358.84388949577</v>
      </c>
      <c r="Y195" s="127">
        <f>+X193*'Sensitivity 2'!$D$3</f>
        <v>275519.13291712169</v>
      </c>
      <c r="Z195" s="127">
        <f>+Y193*'Sensitivity 2'!$D$3</f>
        <v>183679.42194474768</v>
      </c>
      <c r="AA195" s="127">
        <f>+Z193*'Sensitivity 2'!$D$3</f>
        <v>91839.71</v>
      </c>
    </row>
    <row r="196" spans="1:27" hidden="1" x14ac:dyDescent="0.35">
      <c r="B196" t="s">
        <v>147</v>
      </c>
      <c r="C196" s="127">
        <v>0</v>
      </c>
      <c r="D196" s="127">
        <v>0</v>
      </c>
      <c r="E196" s="127">
        <v>0</v>
      </c>
      <c r="F196" s="127">
        <v>0</v>
      </c>
      <c r="G196" s="127">
        <v>0</v>
      </c>
      <c r="H196" s="127">
        <f t="shared" ref="H196" si="414">+G193/20</f>
        <v>918397.10972374049</v>
      </c>
      <c r="I196" s="127">
        <f t="shared" ref="I196" si="415">+H196</f>
        <v>918397.10972374049</v>
      </c>
      <c r="J196" s="127">
        <f t="shared" ref="J196" si="416">+I196</f>
        <v>918397.10972374049</v>
      </c>
      <c r="K196" s="127">
        <f t="shared" ref="K196" si="417">+J196</f>
        <v>918397.10972374049</v>
      </c>
      <c r="L196" s="127">
        <f t="shared" ref="L196" si="418">+K196</f>
        <v>918397.10972374049</v>
      </c>
      <c r="M196" s="127">
        <f t="shared" ref="M196" si="419">+L196</f>
        <v>918397.10972374049</v>
      </c>
      <c r="N196" s="127">
        <f t="shared" ref="N196" si="420">+M196</f>
        <v>918397.10972374049</v>
      </c>
      <c r="O196" s="127">
        <f t="shared" ref="O196" si="421">+N196</f>
        <v>918397.10972374049</v>
      </c>
      <c r="P196" s="127">
        <f t="shared" ref="P196" si="422">+O196</f>
        <v>918397.10972374049</v>
      </c>
      <c r="Q196" s="127">
        <f t="shared" ref="Q196" si="423">+P196</f>
        <v>918397.10972374049</v>
      </c>
      <c r="R196" s="127">
        <f t="shared" ref="R196" si="424">+Q196</f>
        <v>918397.10972374049</v>
      </c>
      <c r="S196" s="127">
        <f t="shared" ref="S196" si="425">+R196</f>
        <v>918397.10972374049</v>
      </c>
      <c r="T196" s="127">
        <f t="shared" ref="T196" si="426">+S196</f>
        <v>918397.10972374049</v>
      </c>
      <c r="U196" s="127">
        <f t="shared" ref="U196" si="427">+T196</f>
        <v>918397.10972374049</v>
      </c>
      <c r="V196" s="127">
        <f t="shared" ref="V196" si="428">+U196</f>
        <v>918397.10972374049</v>
      </c>
      <c r="W196" s="127">
        <f t="shared" ref="W196" si="429">+V196</f>
        <v>918397.10972374049</v>
      </c>
      <c r="X196" s="127">
        <f t="shared" ref="X196" si="430">+W196</f>
        <v>918397.10972374049</v>
      </c>
      <c r="Y196" s="127">
        <f t="shared" ref="Y196" si="431">+X196</f>
        <v>918397.10972374049</v>
      </c>
      <c r="Z196" s="127">
        <f t="shared" ref="Z196" si="432">+Y196</f>
        <v>918397.10972374049</v>
      </c>
      <c r="AA196" s="127">
        <f t="shared" ref="AA196" si="433">+Z196</f>
        <v>918397.10972374049</v>
      </c>
    </row>
    <row r="197" spans="1:27" hidden="1" x14ac:dyDescent="0.35">
      <c r="B197" t="s">
        <v>141</v>
      </c>
      <c r="C197" s="127">
        <f t="shared" ref="C197:AA197" si="434">+C195+C196</f>
        <v>0</v>
      </c>
      <c r="D197" s="127">
        <f t="shared" si="434"/>
        <v>187500</v>
      </c>
      <c r="E197" s="127">
        <f t="shared" si="434"/>
        <v>434652.5</v>
      </c>
      <c r="F197" s="127">
        <f t="shared" si="434"/>
        <v>876876.58125000005</v>
      </c>
      <c r="G197" s="127">
        <f t="shared" si="434"/>
        <v>1443697.0012025</v>
      </c>
      <c r="H197" s="127">
        <f t="shared" si="434"/>
        <v>2755191.3291712217</v>
      </c>
      <c r="I197" s="127">
        <f t="shared" si="434"/>
        <v>2663351.6181988474</v>
      </c>
      <c r="J197" s="127">
        <f t="shared" si="434"/>
        <v>2571511.9072264731</v>
      </c>
      <c r="K197" s="127">
        <f t="shared" si="434"/>
        <v>2479672.1962540993</v>
      </c>
      <c r="L197" s="127">
        <f t="shared" si="434"/>
        <v>2387832.4852817254</v>
      </c>
      <c r="M197" s="127">
        <f t="shared" si="434"/>
        <v>2295992.7743093511</v>
      </c>
      <c r="N197" s="127">
        <f t="shared" si="434"/>
        <v>2204153.0633369768</v>
      </c>
      <c r="O197" s="127">
        <f t="shared" si="434"/>
        <v>2112313.3523646025</v>
      </c>
      <c r="P197" s="127">
        <f t="shared" si="434"/>
        <v>2020473.6413922287</v>
      </c>
      <c r="Q197" s="127">
        <f t="shared" si="434"/>
        <v>1928633.9304198546</v>
      </c>
      <c r="R197" s="127">
        <f t="shared" si="434"/>
        <v>1836794.2194474805</v>
      </c>
      <c r="S197" s="127">
        <f t="shared" si="434"/>
        <v>1744954.5084751064</v>
      </c>
      <c r="T197" s="127">
        <f t="shared" si="434"/>
        <v>1653114.7975027324</v>
      </c>
      <c r="U197" s="127">
        <f t="shared" si="434"/>
        <v>1561275.0865303583</v>
      </c>
      <c r="V197" s="127">
        <f t="shared" si="434"/>
        <v>1469435.3755579842</v>
      </c>
      <c r="W197" s="127">
        <f t="shared" si="434"/>
        <v>1377595.6645856104</v>
      </c>
      <c r="X197" s="127">
        <f t="shared" si="434"/>
        <v>1285755.9536132363</v>
      </c>
      <c r="Y197" s="127">
        <f t="shared" si="434"/>
        <v>1193916.2426408622</v>
      </c>
      <c r="Z197" s="127">
        <f t="shared" si="434"/>
        <v>1102076.5316684882</v>
      </c>
      <c r="AA197" s="127">
        <f t="shared" si="434"/>
        <v>1010236.8197237405</v>
      </c>
    </row>
    <row r="198" spans="1:27" hidden="1" x14ac:dyDescent="0.35"/>
    <row r="199" spans="1:27" hidden="1" x14ac:dyDescent="0.35">
      <c r="A199" t="s">
        <v>196</v>
      </c>
      <c r="B199" s="128" t="s">
        <v>156</v>
      </c>
    </row>
    <row r="200" spans="1:27" hidden="1" x14ac:dyDescent="0.35">
      <c r="B200" s="38" t="s">
        <v>66</v>
      </c>
      <c r="C200" s="57">
        <v>0</v>
      </c>
      <c r="D200" s="57">
        <v>1</v>
      </c>
      <c r="E200" s="57">
        <v>2</v>
      </c>
      <c r="F200" s="57">
        <v>3</v>
      </c>
      <c r="G200" s="57">
        <v>4</v>
      </c>
      <c r="H200" s="57">
        <v>5</v>
      </c>
      <c r="I200" s="57">
        <v>6</v>
      </c>
      <c r="J200" s="57">
        <v>7</v>
      </c>
      <c r="K200" s="57">
        <v>8</v>
      </c>
      <c r="L200" s="57">
        <v>9</v>
      </c>
      <c r="M200" s="57">
        <v>10</v>
      </c>
      <c r="N200" s="57">
        <v>11</v>
      </c>
      <c r="O200" s="57">
        <v>12</v>
      </c>
      <c r="P200" s="57">
        <v>13</v>
      </c>
      <c r="Q200" s="57">
        <v>14</v>
      </c>
      <c r="R200" s="57">
        <v>15</v>
      </c>
      <c r="S200" s="57">
        <v>16</v>
      </c>
      <c r="T200" s="57">
        <v>17</v>
      </c>
      <c r="U200" s="57">
        <v>18</v>
      </c>
      <c r="V200" s="57">
        <v>19</v>
      </c>
      <c r="W200" s="57">
        <v>20</v>
      </c>
      <c r="X200" s="57">
        <v>21</v>
      </c>
      <c r="Y200" s="57">
        <v>22</v>
      </c>
      <c r="Z200" s="57">
        <v>23</v>
      </c>
      <c r="AA200" s="57">
        <v>24</v>
      </c>
    </row>
    <row r="201" spans="1:27" hidden="1" x14ac:dyDescent="0.35">
      <c r="B201" s="3" t="s">
        <v>124</v>
      </c>
      <c r="C201" s="83">
        <f t="shared" ref="C201:AA201" si="435">C202</f>
        <v>0</v>
      </c>
      <c r="D201" s="83">
        <f t="shared" si="435"/>
        <v>0</v>
      </c>
      <c r="E201" s="83">
        <f t="shared" si="435"/>
        <v>0</v>
      </c>
      <c r="F201" s="83">
        <f t="shared" si="435"/>
        <v>0</v>
      </c>
      <c r="G201" s="83">
        <f t="shared" si="435"/>
        <v>0</v>
      </c>
      <c r="H201" s="83">
        <f t="shared" si="435"/>
        <v>371438</v>
      </c>
      <c r="I201" s="83">
        <f t="shared" si="435"/>
        <v>371438</v>
      </c>
      <c r="J201" s="83">
        <f t="shared" si="435"/>
        <v>371438</v>
      </c>
      <c r="K201" s="83">
        <f t="shared" si="435"/>
        <v>371438</v>
      </c>
      <c r="L201" s="83">
        <f t="shared" si="435"/>
        <v>371438</v>
      </c>
      <c r="M201" s="83">
        <f t="shared" si="435"/>
        <v>371438</v>
      </c>
      <c r="N201" s="83">
        <f t="shared" si="435"/>
        <v>371438</v>
      </c>
      <c r="O201" s="83">
        <f t="shared" si="435"/>
        <v>371438</v>
      </c>
      <c r="P201" s="83">
        <f t="shared" si="435"/>
        <v>492526</v>
      </c>
      <c r="Q201" s="83">
        <f t="shared" si="435"/>
        <v>371438</v>
      </c>
      <c r="R201" s="83">
        <f t="shared" si="435"/>
        <v>371438</v>
      </c>
      <c r="S201" s="83">
        <f t="shared" si="435"/>
        <v>371438</v>
      </c>
      <c r="T201" s="83">
        <f t="shared" si="435"/>
        <v>371438</v>
      </c>
      <c r="U201" s="83">
        <f t="shared" si="435"/>
        <v>371438</v>
      </c>
      <c r="V201" s="83">
        <f t="shared" si="435"/>
        <v>371438</v>
      </c>
      <c r="W201" s="83">
        <f t="shared" si="435"/>
        <v>371438</v>
      </c>
      <c r="X201" s="83">
        <f t="shared" si="435"/>
        <v>371438</v>
      </c>
      <c r="Y201" s="83">
        <f t="shared" si="435"/>
        <v>371438</v>
      </c>
      <c r="Z201" s="83">
        <f t="shared" si="435"/>
        <v>371438</v>
      </c>
      <c r="AA201" s="83">
        <f t="shared" si="435"/>
        <v>371438.05000000005</v>
      </c>
    </row>
    <row r="202" spans="1:27" hidden="1" x14ac:dyDescent="0.35">
      <c r="B202" s="69" t="s">
        <v>126</v>
      </c>
      <c r="C202" s="85">
        <f>C122</f>
        <v>0</v>
      </c>
      <c r="D202" s="85">
        <f t="shared" ref="D202:AA202" si="436">D$5</f>
        <v>0</v>
      </c>
      <c r="E202" s="85">
        <f t="shared" si="436"/>
        <v>0</v>
      </c>
      <c r="F202" s="85">
        <f t="shared" si="436"/>
        <v>0</v>
      </c>
      <c r="G202" s="85">
        <f t="shared" si="436"/>
        <v>0</v>
      </c>
      <c r="H202" s="85">
        <f t="shared" si="436"/>
        <v>371438</v>
      </c>
      <c r="I202" s="85">
        <f t="shared" si="436"/>
        <v>371438</v>
      </c>
      <c r="J202" s="85">
        <f t="shared" si="436"/>
        <v>371438</v>
      </c>
      <c r="K202" s="85">
        <f t="shared" si="436"/>
        <v>371438</v>
      </c>
      <c r="L202" s="85">
        <f t="shared" si="436"/>
        <v>371438</v>
      </c>
      <c r="M202" s="85">
        <f t="shared" si="436"/>
        <v>371438</v>
      </c>
      <c r="N202" s="85">
        <f t="shared" si="436"/>
        <v>371438</v>
      </c>
      <c r="O202" s="85">
        <f t="shared" si="436"/>
        <v>371438</v>
      </c>
      <c r="P202" s="85">
        <f t="shared" si="436"/>
        <v>492526</v>
      </c>
      <c r="Q202" s="85">
        <f t="shared" si="436"/>
        <v>371438</v>
      </c>
      <c r="R202" s="85">
        <f t="shared" si="436"/>
        <v>371438</v>
      </c>
      <c r="S202" s="85">
        <f t="shared" si="436"/>
        <v>371438</v>
      </c>
      <c r="T202" s="85">
        <f t="shared" si="436"/>
        <v>371438</v>
      </c>
      <c r="U202" s="85">
        <f t="shared" si="436"/>
        <v>371438</v>
      </c>
      <c r="V202" s="85">
        <f t="shared" si="436"/>
        <v>371438</v>
      </c>
      <c r="W202" s="85">
        <f t="shared" si="436"/>
        <v>371438</v>
      </c>
      <c r="X202" s="85">
        <f t="shared" si="436"/>
        <v>371438</v>
      </c>
      <c r="Y202" s="85">
        <f t="shared" si="436"/>
        <v>371438</v>
      </c>
      <c r="Z202" s="85">
        <f t="shared" si="436"/>
        <v>371438</v>
      </c>
      <c r="AA202" s="85">
        <f t="shared" si="436"/>
        <v>371438.05000000005</v>
      </c>
    </row>
    <row r="203" spans="1:27" hidden="1" x14ac:dyDescent="0.35">
      <c r="B203" s="3" t="s">
        <v>109</v>
      </c>
      <c r="C203" s="83">
        <f t="shared" ref="C203:AA203" si="437">C204+C205</f>
        <v>0</v>
      </c>
      <c r="D203" s="83">
        <f t="shared" si="437"/>
        <v>187500</v>
      </c>
      <c r="E203" s="83">
        <f t="shared" si="437"/>
        <v>434652.5</v>
      </c>
      <c r="F203" s="83">
        <f t="shared" si="437"/>
        <v>1509972.0966099999</v>
      </c>
      <c r="G203" s="83">
        <f t="shared" si="437"/>
        <v>4014064.7935640984</v>
      </c>
      <c r="H203" s="83">
        <f t="shared" si="437"/>
        <v>2847816.2078251997</v>
      </c>
      <c r="I203" s="83">
        <f t="shared" si="437"/>
        <v>2771141.8266784917</v>
      </c>
      <c r="J203" s="83">
        <f t="shared" si="437"/>
        <v>2694694.9254791681</v>
      </c>
      <c r="K203" s="83">
        <f t="shared" si="437"/>
        <v>2618478.9164264407</v>
      </c>
      <c r="L203" s="83">
        <f t="shared" si="437"/>
        <v>2542497.2629025076</v>
      </c>
      <c r="M203" s="83">
        <f t="shared" si="437"/>
        <v>2466753.4802403012</v>
      </c>
      <c r="N203" s="83">
        <f t="shared" si="437"/>
        <v>2391251.1365027474</v>
      </c>
      <c r="O203" s="83">
        <f t="shared" si="437"/>
        <v>2315993.8532737158</v>
      </c>
      <c r="P203" s="83">
        <f t="shared" si="437"/>
        <v>2964860.3721905053</v>
      </c>
      <c r="Q203" s="83">
        <f t="shared" si="437"/>
        <v>5105161.9939728081</v>
      </c>
      <c r="R203" s="83">
        <f t="shared" si="437"/>
        <v>2091729.4022341846</v>
      </c>
      <c r="S203" s="83">
        <f t="shared" si="437"/>
        <v>2017489.6756494672</v>
      </c>
      <c r="T203" s="83">
        <f t="shared" si="437"/>
        <v>1943513.9488305645</v>
      </c>
      <c r="U203" s="83">
        <f t="shared" si="437"/>
        <v>1869806.1817739638</v>
      </c>
      <c r="V203" s="83">
        <f t="shared" si="437"/>
        <v>1796370.3938761</v>
      </c>
      <c r="W203" s="83">
        <f t="shared" si="437"/>
        <v>1723210.6648243535</v>
      </c>
      <c r="X203" s="83">
        <f t="shared" si="437"/>
        <v>1650331.1355014166</v>
      </c>
      <c r="Y203" s="83">
        <f t="shared" si="437"/>
        <v>1577736.0089032212</v>
      </c>
      <c r="Z203" s="83">
        <f t="shared" si="437"/>
        <v>1505429.5510706385</v>
      </c>
      <c r="AA203" s="83">
        <f t="shared" si="437"/>
        <v>1433416.0910627791</v>
      </c>
    </row>
    <row r="204" spans="1:27" hidden="1" x14ac:dyDescent="0.35">
      <c r="B204" s="69" t="s">
        <v>146</v>
      </c>
      <c r="C204" s="85">
        <f t="shared" ref="C204:AA204" si="438">C234</f>
        <v>0</v>
      </c>
      <c r="D204" s="85">
        <f t="shared" si="438"/>
        <v>187500</v>
      </c>
      <c r="E204" s="85">
        <f t="shared" si="438"/>
        <v>434652.5</v>
      </c>
      <c r="F204" s="85">
        <f t="shared" si="438"/>
        <v>876876.58125000005</v>
      </c>
      <c r="G204" s="85">
        <f t="shared" si="438"/>
        <v>1443697.0012025</v>
      </c>
      <c r="H204" s="85">
        <f t="shared" si="438"/>
        <v>1836794.219447481</v>
      </c>
      <c r="I204" s="85">
        <f t="shared" si="438"/>
        <v>1744954.5084751071</v>
      </c>
      <c r="J204" s="85">
        <f t="shared" si="438"/>
        <v>1653114.7975027328</v>
      </c>
      <c r="K204" s="85">
        <f t="shared" si="438"/>
        <v>1561275.0865303588</v>
      </c>
      <c r="L204" s="85">
        <f t="shared" si="438"/>
        <v>1469435.3755579847</v>
      </c>
      <c r="M204" s="85">
        <f t="shared" si="438"/>
        <v>1377595.6645856106</v>
      </c>
      <c r="N204" s="85">
        <f t="shared" si="438"/>
        <v>1285755.9536132365</v>
      </c>
      <c r="O204" s="85">
        <f t="shared" si="438"/>
        <v>1193916.2426408622</v>
      </c>
      <c r="P204" s="85">
        <f t="shared" si="438"/>
        <v>1102076.5316684882</v>
      </c>
      <c r="Q204" s="85">
        <f t="shared" si="438"/>
        <v>1010236.8206961141</v>
      </c>
      <c r="R204" s="85">
        <f t="shared" si="438"/>
        <v>918397.10972373991</v>
      </c>
      <c r="S204" s="85">
        <f t="shared" si="438"/>
        <v>826557.39875136595</v>
      </c>
      <c r="T204" s="85">
        <f t="shared" si="438"/>
        <v>734717.68777899188</v>
      </c>
      <c r="U204" s="85">
        <f t="shared" si="438"/>
        <v>642877.97680661781</v>
      </c>
      <c r="V204" s="85">
        <f t="shared" si="438"/>
        <v>551038.26583424385</v>
      </c>
      <c r="W204" s="85">
        <f t="shared" si="438"/>
        <v>459198.55486186978</v>
      </c>
      <c r="X204" s="85">
        <f t="shared" si="438"/>
        <v>367358.84388949577</v>
      </c>
      <c r="Y204" s="85">
        <f t="shared" si="438"/>
        <v>275519.13291712169</v>
      </c>
      <c r="Z204" s="85">
        <f t="shared" si="438"/>
        <v>183679.42194474768</v>
      </c>
      <c r="AA204" s="85">
        <f t="shared" si="438"/>
        <v>91839.71</v>
      </c>
    </row>
    <row r="205" spans="1:27" hidden="1" x14ac:dyDescent="0.35">
      <c r="B205" s="69" t="s">
        <v>163</v>
      </c>
      <c r="C205" s="85">
        <f t="shared" ref="C205:AA205" si="439">SUM(C206:C208)</f>
        <v>0</v>
      </c>
      <c r="D205" s="85">
        <f t="shared" si="439"/>
        <v>0</v>
      </c>
      <c r="E205" s="85">
        <f t="shared" si="439"/>
        <v>0</v>
      </c>
      <c r="F205" s="85">
        <f t="shared" si="439"/>
        <v>633095.51535999984</v>
      </c>
      <c r="G205" s="85">
        <f t="shared" si="439"/>
        <v>2570367.7923615985</v>
      </c>
      <c r="H205" s="85">
        <f t="shared" si="439"/>
        <v>1011021.988377719</v>
      </c>
      <c r="I205" s="85">
        <f t="shared" si="439"/>
        <v>1026187.3182033846</v>
      </c>
      <c r="J205" s="85">
        <f t="shared" si="439"/>
        <v>1041580.1279764354</v>
      </c>
      <c r="K205" s="85">
        <f t="shared" si="439"/>
        <v>1057203.8298960817</v>
      </c>
      <c r="L205" s="85">
        <f t="shared" si="439"/>
        <v>1073061.8873445229</v>
      </c>
      <c r="M205" s="85">
        <f t="shared" si="439"/>
        <v>1089157.8156546906</v>
      </c>
      <c r="N205" s="85">
        <f t="shared" si="439"/>
        <v>1105495.1828895109</v>
      </c>
      <c r="O205" s="85">
        <f t="shared" si="439"/>
        <v>1122077.6106328536</v>
      </c>
      <c r="P205" s="85">
        <f t="shared" si="439"/>
        <v>1862783.8405220169</v>
      </c>
      <c r="Q205" s="85">
        <f t="shared" si="439"/>
        <v>4094925.173276694</v>
      </c>
      <c r="R205" s="85">
        <f t="shared" si="439"/>
        <v>1173332.2925104445</v>
      </c>
      <c r="S205" s="85">
        <f t="shared" si="439"/>
        <v>1190932.2768981012</v>
      </c>
      <c r="T205" s="85">
        <f t="shared" si="439"/>
        <v>1208796.2610515726</v>
      </c>
      <c r="U205" s="85">
        <f t="shared" si="439"/>
        <v>1226928.204967346</v>
      </c>
      <c r="V205" s="85">
        <f t="shared" si="439"/>
        <v>1245332.128041856</v>
      </c>
      <c r="W205" s="85">
        <f t="shared" si="439"/>
        <v>1264012.1099624839</v>
      </c>
      <c r="X205" s="85">
        <f t="shared" si="439"/>
        <v>1282972.2916119208</v>
      </c>
      <c r="Y205" s="85">
        <f t="shared" si="439"/>
        <v>1302216.8759860995</v>
      </c>
      <c r="Z205" s="85">
        <f t="shared" si="439"/>
        <v>1321750.1291258908</v>
      </c>
      <c r="AA205" s="85">
        <f t="shared" si="439"/>
        <v>1341576.3810627791</v>
      </c>
    </row>
    <row r="206" spans="1:27" hidden="1" x14ac:dyDescent="0.35">
      <c r="B206" s="129" t="s">
        <v>108</v>
      </c>
      <c r="C206" s="85">
        <f t="shared" ref="C206:AA206" si="440">C9</f>
        <v>0</v>
      </c>
      <c r="D206" s="85">
        <f t="shared" si="440"/>
        <v>0</v>
      </c>
      <c r="E206" s="85">
        <f t="shared" si="440"/>
        <v>0</v>
      </c>
      <c r="F206" s="85">
        <f t="shared" si="440"/>
        <v>0</v>
      </c>
      <c r="G206" s="85">
        <f t="shared" si="440"/>
        <v>0</v>
      </c>
      <c r="H206" s="85">
        <f t="shared" si="440"/>
        <v>92624.878653978507</v>
      </c>
      <c r="I206" s="85">
        <f t="shared" si="440"/>
        <v>94014.251833788163</v>
      </c>
      <c r="J206" s="85">
        <f t="shared" si="440"/>
        <v>95424.465611294974</v>
      </c>
      <c r="K206" s="85">
        <f t="shared" si="440"/>
        <v>96855.832595464381</v>
      </c>
      <c r="L206" s="85">
        <f t="shared" si="440"/>
        <v>98308.670084396334</v>
      </c>
      <c r="M206" s="85">
        <f t="shared" si="440"/>
        <v>99783.30013566227</v>
      </c>
      <c r="N206" s="85">
        <f t="shared" si="440"/>
        <v>101280.0496376972</v>
      </c>
      <c r="O206" s="85">
        <f t="shared" si="440"/>
        <v>102799.25038226263</v>
      </c>
      <c r="P206" s="85">
        <f t="shared" si="440"/>
        <v>104341.23913799657</v>
      </c>
      <c r="Q206" s="85">
        <f t="shared" si="440"/>
        <v>105906.35772506648</v>
      </c>
      <c r="R206" s="85">
        <f t="shared" si="440"/>
        <v>107494.95309094246</v>
      </c>
      <c r="S206" s="85">
        <f t="shared" si="440"/>
        <v>109107.37738730659</v>
      </c>
      <c r="T206" s="85">
        <f t="shared" si="440"/>
        <v>110743.98804811617</v>
      </c>
      <c r="U206" s="85">
        <f t="shared" si="440"/>
        <v>112405.14786883791</v>
      </c>
      <c r="V206" s="85">
        <f t="shared" si="440"/>
        <v>114091.22508687047</v>
      </c>
      <c r="W206" s="85">
        <f t="shared" si="440"/>
        <v>115802.59346317349</v>
      </c>
      <c r="X206" s="85">
        <f t="shared" si="440"/>
        <v>117539.63236512108</v>
      </c>
      <c r="Y206" s="85">
        <f t="shared" si="440"/>
        <v>119302.72685059787</v>
      </c>
      <c r="Z206" s="85">
        <f t="shared" si="440"/>
        <v>121092.26775335683</v>
      </c>
      <c r="AA206" s="85">
        <f t="shared" si="440"/>
        <v>122908.65176965717</v>
      </c>
    </row>
    <row r="207" spans="1:27" hidden="1" x14ac:dyDescent="0.35">
      <c r="B207" s="129" t="s">
        <v>110</v>
      </c>
      <c r="C207" s="85">
        <f t="shared" ref="C207:G207" si="441">C10</f>
        <v>0</v>
      </c>
      <c r="D207" s="85">
        <f t="shared" si="441"/>
        <v>0</v>
      </c>
      <c r="E207" s="85">
        <f t="shared" si="441"/>
        <v>0</v>
      </c>
      <c r="F207" s="85">
        <f t="shared" si="441"/>
        <v>0</v>
      </c>
      <c r="G207" s="85">
        <f t="shared" si="441"/>
        <v>0</v>
      </c>
      <c r="H207" s="85">
        <f>SUM(C214:G214)*0.05</f>
        <v>918397.10972374049</v>
      </c>
      <c r="I207" s="85">
        <f>H207*(1+'Sensitivity 2'!$D$5)</f>
        <v>932173.06636959652</v>
      </c>
      <c r="J207" s="85">
        <f>I207*(1+'Sensitivity 2'!$D$5)</f>
        <v>946155.66236514039</v>
      </c>
      <c r="K207" s="85">
        <f>J207*(1+'Sensitivity 2'!$D$5)</f>
        <v>960347.9973006174</v>
      </c>
      <c r="L207" s="85">
        <f>K207*(1+'Sensitivity 2'!$D$5)</f>
        <v>974753.21726012661</v>
      </c>
      <c r="M207" s="85">
        <f>L207*(1+'Sensitivity 2'!$D$5)</f>
        <v>989374.51551902841</v>
      </c>
      <c r="N207" s="85">
        <f>M207*(1+'Sensitivity 2'!$D$5)</f>
        <v>1004215.1332518137</v>
      </c>
      <c r="O207" s="85">
        <f>N207*(1+'Sensitivity 2'!$D$5)</f>
        <v>1019278.3602505908</v>
      </c>
      <c r="P207" s="85">
        <f>O207*(1+'Sensitivity 2'!$D$5)</f>
        <v>1034567.5356543496</v>
      </c>
      <c r="Q207" s="85">
        <f>P207*(1+'Sensitivity 2'!$D$5)</f>
        <v>1050086.0486891647</v>
      </c>
      <c r="R207" s="85">
        <f>Q207*(1+'Sensitivity 2'!$D$5)</f>
        <v>1065837.3394195021</v>
      </c>
      <c r="S207" s="85">
        <f>R207*(1+'Sensitivity 2'!$D$5)</f>
        <v>1081824.8995107946</v>
      </c>
      <c r="T207" s="85">
        <f>S207*(1+'Sensitivity 2'!$D$5)</f>
        <v>1098052.2730034564</v>
      </c>
      <c r="U207" s="85">
        <f>T207*(1+'Sensitivity 2'!$D$5)</f>
        <v>1114523.0570985081</v>
      </c>
      <c r="V207" s="85">
        <f>U207*(1+'Sensitivity 2'!$D$5)</f>
        <v>1131240.9029549856</v>
      </c>
      <c r="W207" s="85">
        <f>V207*(1+'Sensitivity 2'!$D$5)</f>
        <v>1148209.5164993103</v>
      </c>
      <c r="X207" s="85">
        <f>W207*(1+'Sensitivity 2'!$D$5)</f>
        <v>1165432.6592467998</v>
      </c>
      <c r="Y207" s="85">
        <f>X207*(1+'Sensitivity 2'!$D$5)</f>
        <v>1182914.1491355016</v>
      </c>
      <c r="Z207" s="85">
        <f>Y207*(1+'Sensitivity 2'!$D$5)</f>
        <v>1200657.861372534</v>
      </c>
      <c r="AA207" s="85">
        <f>Z207*(1+'Sensitivity 2'!$D$5)</f>
        <v>1218667.729293122</v>
      </c>
    </row>
    <row r="208" spans="1:27" hidden="1" collapsed="1" x14ac:dyDescent="0.35">
      <c r="B208" s="129" t="s">
        <v>125</v>
      </c>
      <c r="C208" s="85">
        <f t="shared" ref="C208:Z208" si="442">+SUM(C209:C213)</f>
        <v>0</v>
      </c>
      <c r="D208" s="85">
        <f t="shared" si="442"/>
        <v>0</v>
      </c>
      <c r="E208" s="85">
        <f t="shared" si="442"/>
        <v>0</v>
      </c>
      <c r="F208" s="85">
        <f t="shared" si="442"/>
        <v>633095.51535999984</v>
      </c>
      <c r="G208" s="85">
        <f t="shared" si="442"/>
        <v>2570367.7923615985</v>
      </c>
      <c r="H208" s="85">
        <f t="shared" si="442"/>
        <v>0</v>
      </c>
      <c r="I208" s="85">
        <f t="shared" si="442"/>
        <v>0</v>
      </c>
      <c r="J208" s="85">
        <f t="shared" si="442"/>
        <v>0</v>
      </c>
      <c r="K208" s="85">
        <f t="shared" si="442"/>
        <v>0</v>
      </c>
      <c r="L208" s="85">
        <f t="shared" si="442"/>
        <v>0</v>
      </c>
      <c r="M208" s="85">
        <f t="shared" si="442"/>
        <v>0</v>
      </c>
      <c r="N208" s="85">
        <f t="shared" si="442"/>
        <v>0</v>
      </c>
      <c r="O208" s="85">
        <f t="shared" si="442"/>
        <v>0</v>
      </c>
      <c r="P208" s="85">
        <f t="shared" si="442"/>
        <v>723875.06572967069</v>
      </c>
      <c r="Q208" s="85">
        <f t="shared" si="442"/>
        <v>2938932.7668624627</v>
      </c>
      <c r="R208" s="85">
        <f t="shared" si="442"/>
        <v>0</v>
      </c>
      <c r="S208" s="85">
        <f t="shared" si="442"/>
        <v>0</v>
      </c>
      <c r="T208" s="85">
        <f t="shared" si="442"/>
        <v>0</v>
      </c>
      <c r="U208" s="85">
        <f t="shared" si="442"/>
        <v>0</v>
      </c>
      <c r="V208" s="85">
        <f t="shared" si="442"/>
        <v>0</v>
      </c>
      <c r="W208" s="85">
        <f t="shared" si="442"/>
        <v>0</v>
      </c>
      <c r="X208" s="85">
        <f t="shared" si="442"/>
        <v>0</v>
      </c>
      <c r="Y208" s="85">
        <f t="shared" si="442"/>
        <v>0</v>
      </c>
      <c r="Z208" s="85">
        <f t="shared" si="442"/>
        <v>0</v>
      </c>
      <c r="AA208" s="85">
        <f t="shared" ref="AA208" si="443">+SUM(AA209:AA213)</f>
        <v>0</v>
      </c>
    </row>
    <row r="209" spans="2:27" hidden="1" outlineLevel="1" x14ac:dyDescent="0.35">
      <c r="B209" s="133" t="s">
        <v>27</v>
      </c>
      <c r="C209" s="85">
        <f t="shared" ref="C209:E213" si="444">C12</f>
        <v>0</v>
      </c>
      <c r="D209" s="85">
        <f t="shared" si="444"/>
        <v>0</v>
      </c>
      <c r="E209" s="85">
        <f t="shared" si="444"/>
        <v>0</v>
      </c>
      <c r="F209" s="85">
        <f>+'Project Assumptions'!$D36*'Project Assumptions'!$E36*'Project Assumptions'!J36*(1+'Sensitivity 2'!$D$5)^'Government Impact_baseline'!F$3*'Sensitivity 2'!$I$13</f>
        <v>122302.54273999996</v>
      </c>
      <c r="G209" s="85">
        <f>+'Project Assumptions'!$D36*'Project Assumptions'!$E36*'Project Assumptions'!K36*(1+'Sensitivity 2'!$D$5)^'Government Impact_baseline'!G$3*'Sensitivity 2'!$I$13</f>
        <v>496548.32352439972</v>
      </c>
      <c r="H209" s="85">
        <f t="shared" ref="H209:O213" si="445">H12</f>
        <v>0</v>
      </c>
      <c r="I209" s="85">
        <f t="shared" si="445"/>
        <v>0</v>
      </c>
      <c r="J209" s="85">
        <f t="shared" si="445"/>
        <v>0</v>
      </c>
      <c r="K209" s="85">
        <f t="shared" si="445"/>
        <v>0</v>
      </c>
      <c r="L209" s="85">
        <f t="shared" si="445"/>
        <v>0</v>
      </c>
      <c r="M209" s="85">
        <f t="shared" si="445"/>
        <v>0</v>
      </c>
      <c r="N209" s="85">
        <f t="shared" si="445"/>
        <v>0</v>
      </c>
      <c r="O209" s="85">
        <f t="shared" si="445"/>
        <v>0</v>
      </c>
      <c r="P209" s="85">
        <f>+'Project Assumptions'!$D36*'Project Assumptions'!$E36*'Project Assumptions'!M36*(1+'Sensitivity 2'!$D$5)^'Government Impact_baseline'!O$3*'Sensitivity 2'!$I$13</f>
        <v>139839.50133414092</v>
      </c>
      <c r="Q209" s="85">
        <f>+'Project Assumptions'!$D36*'Project Assumptions'!$E36*'Project Assumptions'!N36*(1+'Sensitivity 2'!$D$5)^'Government Impact_baseline'!P$3*'Sensitivity 2'!$I$13</f>
        <v>567748.37541661214</v>
      </c>
      <c r="R209" s="85">
        <f t="shared" ref="R209:AA209" si="446">R12</f>
        <v>0</v>
      </c>
      <c r="S209" s="85">
        <f t="shared" si="446"/>
        <v>0</v>
      </c>
      <c r="T209" s="85">
        <f t="shared" si="446"/>
        <v>0</v>
      </c>
      <c r="U209" s="85">
        <f t="shared" si="446"/>
        <v>0</v>
      </c>
      <c r="V209" s="85">
        <f t="shared" si="446"/>
        <v>0</v>
      </c>
      <c r="W209" s="85">
        <f t="shared" si="446"/>
        <v>0</v>
      </c>
      <c r="X209" s="85">
        <f t="shared" si="446"/>
        <v>0</v>
      </c>
      <c r="Y209" s="85">
        <f t="shared" si="446"/>
        <v>0</v>
      </c>
      <c r="Z209" s="85">
        <f t="shared" si="446"/>
        <v>0</v>
      </c>
      <c r="AA209" s="85">
        <f t="shared" si="446"/>
        <v>0</v>
      </c>
    </row>
    <row r="210" spans="2:27" hidden="1" outlineLevel="1" x14ac:dyDescent="0.35">
      <c r="B210" s="133" t="s">
        <v>42</v>
      </c>
      <c r="C210" s="85">
        <f t="shared" si="444"/>
        <v>0</v>
      </c>
      <c r="D210" s="85">
        <f t="shared" si="444"/>
        <v>0</v>
      </c>
      <c r="E210" s="85">
        <f t="shared" si="444"/>
        <v>0</v>
      </c>
      <c r="F210" s="85">
        <f>+'Project Assumptions'!$D37*'Project Assumptions'!$E37*'Project Assumptions'!J37*(1+'Sensitivity 2'!$D$5)^'Government Impact_baseline'!F$3*'Sensitivity 2'!$I$13</f>
        <v>68345.538589999967</v>
      </c>
      <c r="G210" s="85">
        <f>+'Project Assumptions'!$D37*'Project Assumptions'!$E37*'Project Assumptions'!K37*(1+'Sensitivity 2'!$D$5)^'Government Impact_baseline'!G$3*'Sensitivity 2'!$I$13</f>
        <v>277482.88667539984</v>
      </c>
      <c r="H210" s="85">
        <f t="shared" si="445"/>
        <v>0</v>
      </c>
      <c r="I210" s="85">
        <f t="shared" si="445"/>
        <v>0</v>
      </c>
      <c r="J210" s="85">
        <f t="shared" si="445"/>
        <v>0</v>
      </c>
      <c r="K210" s="85">
        <f t="shared" si="445"/>
        <v>0</v>
      </c>
      <c r="L210" s="85">
        <f t="shared" si="445"/>
        <v>0</v>
      </c>
      <c r="M210" s="85">
        <f t="shared" si="445"/>
        <v>0</v>
      </c>
      <c r="N210" s="85">
        <f t="shared" si="445"/>
        <v>0</v>
      </c>
      <c r="O210" s="85">
        <f t="shared" si="445"/>
        <v>0</v>
      </c>
      <c r="P210" s="85">
        <f>+'Project Assumptions'!$D37*'Project Assumptions'!$E37*'Project Assumptions'!M37*(1+'Sensitivity 2'!$D$5)^'Government Impact_baseline'!O$3*'Sensitivity 2'!$I$13</f>
        <v>78145.603686725808</v>
      </c>
      <c r="Q210" s="85">
        <f>+'Project Assumptions'!$D37*'Project Assumptions'!$E37*'Project Assumptions'!N37*(1+'Sensitivity 2'!$D$5)^'Government Impact_baseline'!P$3*'Sensitivity 2'!$I$13</f>
        <v>317271.15096810681</v>
      </c>
      <c r="R210" s="85">
        <f t="shared" ref="R210:AA210" si="447">R13</f>
        <v>0</v>
      </c>
      <c r="S210" s="85">
        <f t="shared" si="447"/>
        <v>0</v>
      </c>
      <c r="T210" s="85">
        <f t="shared" si="447"/>
        <v>0</v>
      </c>
      <c r="U210" s="85">
        <f t="shared" si="447"/>
        <v>0</v>
      </c>
      <c r="V210" s="85">
        <f t="shared" si="447"/>
        <v>0</v>
      </c>
      <c r="W210" s="85">
        <f t="shared" si="447"/>
        <v>0</v>
      </c>
      <c r="X210" s="85">
        <f t="shared" si="447"/>
        <v>0</v>
      </c>
      <c r="Y210" s="85">
        <f t="shared" si="447"/>
        <v>0</v>
      </c>
      <c r="Z210" s="85">
        <f t="shared" si="447"/>
        <v>0</v>
      </c>
      <c r="AA210" s="85">
        <f t="shared" si="447"/>
        <v>0</v>
      </c>
    </row>
    <row r="211" spans="2:27" hidden="1" outlineLevel="1" x14ac:dyDescent="0.35">
      <c r="B211" s="133" t="s">
        <v>150</v>
      </c>
      <c r="C211" s="85">
        <f t="shared" si="444"/>
        <v>0</v>
      </c>
      <c r="D211" s="85">
        <f t="shared" si="444"/>
        <v>0</v>
      </c>
      <c r="E211" s="85">
        <f t="shared" si="444"/>
        <v>0</v>
      </c>
      <c r="F211" s="85">
        <f>+'Project Assumptions'!$D38*'Project Assumptions'!$E38*'Project Assumptions'!J38*(1+'Sensitivity 2'!$D$5)^'Government Impact_baseline'!F$3*'Sensitivity 2'!$I$13</f>
        <v>93525.473859999969</v>
      </c>
      <c r="G211" s="85">
        <f>+'Project Assumptions'!$D38*'Project Assumptions'!$E38*'Project Assumptions'!K38*(1+'Sensitivity 2'!$D$5)^'Government Impact_baseline'!G$3*'Sensitivity 2'!$I$13</f>
        <v>379713.42387159978</v>
      </c>
      <c r="H211" s="85">
        <f t="shared" si="445"/>
        <v>0</v>
      </c>
      <c r="I211" s="85">
        <f t="shared" si="445"/>
        <v>0</v>
      </c>
      <c r="J211" s="85">
        <f t="shared" si="445"/>
        <v>0</v>
      </c>
      <c r="K211" s="85">
        <f t="shared" si="445"/>
        <v>0</v>
      </c>
      <c r="L211" s="85">
        <f t="shared" si="445"/>
        <v>0</v>
      </c>
      <c r="M211" s="85">
        <f t="shared" si="445"/>
        <v>0</v>
      </c>
      <c r="N211" s="85">
        <f t="shared" si="445"/>
        <v>0</v>
      </c>
      <c r="O211" s="85">
        <f t="shared" si="445"/>
        <v>0</v>
      </c>
      <c r="P211" s="85">
        <f>+'Project Assumptions'!$D38*'Project Assumptions'!$E38*'Project Assumptions'!M38*(1+'Sensitivity 2'!$D$5)^'Government Impact_baseline'!O$3*'Sensitivity 2'!$I$13</f>
        <v>106936.08925551953</v>
      </c>
      <c r="Q211" s="85">
        <f>+'Project Assumptions'!$D38*'Project Assumptions'!$E38*'Project Assumptions'!N38*(1+'Sensitivity 2'!$D$5)^'Government Impact_baseline'!P$3*'Sensitivity 2'!$I$13</f>
        <v>434160.52237740927</v>
      </c>
      <c r="R211" s="85">
        <f t="shared" ref="R211:AA211" si="448">R14</f>
        <v>0</v>
      </c>
      <c r="S211" s="85">
        <f t="shared" si="448"/>
        <v>0</v>
      </c>
      <c r="T211" s="85">
        <f t="shared" si="448"/>
        <v>0</v>
      </c>
      <c r="U211" s="85">
        <f t="shared" si="448"/>
        <v>0</v>
      </c>
      <c r="V211" s="85">
        <f t="shared" si="448"/>
        <v>0</v>
      </c>
      <c r="W211" s="85">
        <f t="shared" si="448"/>
        <v>0</v>
      </c>
      <c r="X211" s="85">
        <f t="shared" si="448"/>
        <v>0</v>
      </c>
      <c r="Y211" s="85">
        <f t="shared" si="448"/>
        <v>0</v>
      </c>
      <c r="Z211" s="85">
        <f t="shared" si="448"/>
        <v>0</v>
      </c>
      <c r="AA211" s="85">
        <f t="shared" si="448"/>
        <v>0</v>
      </c>
    </row>
    <row r="212" spans="2:27" hidden="1" outlineLevel="1" x14ac:dyDescent="0.35">
      <c r="B212" s="133" t="s">
        <v>43</v>
      </c>
      <c r="C212" s="85">
        <f t="shared" si="444"/>
        <v>0</v>
      </c>
      <c r="D212" s="85">
        <f t="shared" si="444"/>
        <v>0</v>
      </c>
      <c r="E212" s="85">
        <f t="shared" si="444"/>
        <v>0</v>
      </c>
      <c r="F212" s="85">
        <f>+'Project Assumptions'!$D39*'Project Assumptions'!$E39*'Project Assumptions'!J39*(1+'Sensitivity 2'!$D$5)^'Government Impact_baseline'!F$3*'Sensitivity 2'!$I$13</f>
        <v>46762.736929999985</v>
      </c>
      <c r="G212" s="85">
        <f>+'Project Assumptions'!$D39*'Project Assumptions'!$E39*'Project Assumptions'!K39*(1+'Sensitivity 2'!$D$5)^'Government Impact_baseline'!G$3*'Sensitivity 2'!$I$13</f>
        <v>189856.71193579989</v>
      </c>
      <c r="H212" s="85">
        <f t="shared" si="445"/>
        <v>0</v>
      </c>
      <c r="I212" s="85">
        <f t="shared" si="445"/>
        <v>0</v>
      </c>
      <c r="J212" s="85">
        <f t="shared" si="445"/>
        <v>0</v>
      </c>
      <c r="K212" s="85">
        <f t="shared" si="445"/>
        <v>0</v>
      </c>
      <c r="L212" s="85">
        <f t="shared" si="445"/>
        <v>0</v>
      </c>
      <c r="M212" s="85">
        <f t="shared" si="445"/>
        <v>0</v>
      </c>
      <c r="N212" s="85">
        <f t="shared" si="445"/>
        <v>0</v>
      </c>
      <c r="O212" s="85">
        <f t="shared" si="445"/>
        <v>0</v>
      </c>
      <c r="P212" s="85">
        <f>+'Project Assumptions'!$D39*'Project Assumptions'!$E39*'Project Assumptions'!M39*(1+'Sensitivity 2'!$D$5)^'Government Impact_baseline'!O$3*'Sensitivity 2'!$I$13</f>
        <v>53468.044627759766</v>
      </c>
      <c r="Q212" s="85">
        <f>+'Project Assumptions'!$D39*'Project Assumptions'!$E39*'Project Assumptions'!N39*(1+'Sensitivity 2'!$D$5)^'Government Impact_baseline'!P$3*'Sensitivity 2'!$I$13</f>
        <v>217080.26118870464</v>
      </c>
      <c r="R212" s="85">
        <f t="shared" ref="R212:AA212" si="449">R15</f>
        <v>0</v>
      </c>
      <c r="S212" s="85">
        <f t="shared" si="449"/>
        <v>0</v>
      </c>
      <c r="T212" s="85">
        <f t="shared" si="449"/>
        <v>0</v>
      </c>
      <c r="U212" s="85">
        <f t="shared" si="449"/>
        <v>0</v>
      </c>
      <c r="V212" s="85">
        <f t="shared" si="449"/>
        <v>0</v>
      </c>
      <c r="W212" s="85">
        <f t="shared" si="449"/>
        <v>0</v>
      </c>
      <c r="X212" s="85">
        <f t="shared" si="449"/>
        <v>0</v>
      </c>
      <c r="Y212" s="85">
        <f t="shared" si="449"/>
        <v>0</v>
      </c>
      <c r="Z212" s="85">
        <f t="shared" si="449"/>
        <v>0</v>
      </c>
      <c r="AA212" s="85">
        <f t="shared" si="449"/>
        <v>0</v>
      </c>
    </row>
    <row r="213" spans="2:27" hidden="1" outlineLevel="1" x14ac:dyDescent="0.35">
      <c r="B213" s="133" t="s">
        <v>44</v>
      </c>
      <c r="C213" s="85">
        <f t="shared" si="444"/>
        <v>0</v>
      </c>
      <c r="D213" s="85">
        <f t="shared" si="444"/>
        <v>0</v>
      </c>
      <c r="E213" s="85">
        <f t="shared" si="444"/>
        <v>0</v>
      </c>
      <c r="F213" s="85">
        <f>+'Project Assumptions'!$D40*'Project Assumptions'!$E40*'Project Assumptions'!J40*(1+'Sensitivity 2'!$D$5)^'Government Impact_baseline'!F$3*'Sensitivity 2'!$I$13</f>
        <v>302159.2232399999</v>
      </c>
      <c r="G213" s="85">
        <f>+'Project Assumptions'!$D40*'Project Assumptions'!$E40*'Project Assumptions'!K40*(1+'Sensitivity 2'!$D$5)^'Government Impact_baseline'!G$3*'Sensitivity 2'!$I$13</f>
        <v>1226766.4463543994</v>
      </c>
      <c r="H213" s="85">
        <f t="shared" si="445"/>
        <v>0</v>
      </c>
      <c r="I213" s="85">
        <f t="shared" si="445"/>
        <v>0</v>
      </c>
      <c r="J213" s="85">
        <f t="shared" si="445"/>
        <v>0</v>
      </c>
      <c r="K213" s="85">
        <f t="shared" si="445"/>
        <v>0</v>
      </c>
      <c r="L213" s="85">
        <f t="shared" si="445"/>
        <v>0</v>
      </c>
      <c r="M213" s="85">
        <f t="shared" si="445"/>
        <v>0</v>
      </c>
      <c r="N213" s="85">
        <f t="shared" si="445"/>
        <v>0</v>
      </c>
      <c r="O213" s="85">
        <f t="shared" si="445"/>
        <v>0</v>
      </c>
      <c r="P213" s="85">
        <f>+'Project Assumptions'!$D40*'Project Assumptions'!$E40*'Project Assumptions'!M40*(1+'Sensitivity 2'!$D$5)^'Government Impact_baseline'!O$3*'Sensitivity 2'!$I$13</f>
        <v>345485.82682552468</v>
      </c>
      <c r="Q213" s="85">
        <f>+'Project Assumptions'!$D40*'Project Assumptions'!$E40*'Project Assumptions'!N40*(1+'Sensitivity 2'!$D$5)^'Government Impact_baseline'!P$3*'Sensitivity 2'!$I$13</f>
        <v>1402672.45691163</v>
      </c>
      <c r="R213" s="85">
        <f t="shared" ref="R213:AA213" si="450">R16</f>
        <v>0</v>
      </c>
      <c r="S213" s="85">
        <f t="shared" si="450"/>
        <v>0</v>
      </c>
      <c r="T213" s="85">
        <f t="shared" si="450"/>
        <v>0</v>
      </c>
      <c r="U213" s="85">
        <f t="shared" si="450"/>
        <v>0</v>
      </c>
      <c r="V213" s="85">
        <f t="shared" si="450"/>
        <v>0</v>
      </c>
      <c r="W213" s="85">
        <f t="shared" si="450"/>
        <v>0</v>
      </c>
      <c r="X213" s="85">
        <f t="shared" si="450"/>
        <v>0</v>
      </c>
      <c r="Y213" s="85">
        <f t="shared" si="450"/>
        <v>0</v>
      </c>
      <c r="Z213" s="85">
        <f t="shared" si="450"/>
        <v>0</v>
      </c>
      <c r="AA213" s="85">
        <f t="shared" si="450"/>
        <v>0</v>
      </c>
    </row>
    <row r="214" spans="2:27" hidden="1" x14ac:dyDescent="0.35">
      <c r="B214" s="3" t="s">
        <v>122</v>
      </c>
      <c r="C214" s="83">
        <f t="shared" ref="C214:E214" si="451">C215+C216</f>
        <v>1875000</v>
      </c>
      <c r="D214" s="83">
        <f t="shared" si="451"/>
        <v>2471524.9999999995</v>
      </c>
      <c r="E214" s="83">
        <f t="shared" si="451"/>
        <v>4422240.8124999991</v>
      </c>
      <c r="F214" s="83">
        <f t="shared" ref="F214" si="452">F215+F216</f>
        <v>5668204.1995249977</v>
      </c>
      <c r="G214" s="83">
        <f t="shared" ref="G214" si="453">G215+G216</f>
        <v>3930972.1824498107</v>
      </c>
      <c r="H214" s="83">
        <f t="shared" ref="H214" si="454">H215+H216</f>
        <v>0</v>
      </c>
      <c r="I214" s="83">
        <f t="shared" ref="I214" si="455">I215+I216</f>
        <v>0</v>
      </c>
      <c r="J214" s="83">
        <f t="shared" ref="J214" si="456">J215+J216</f>
        <v>0</v>
      </c>
      <c r="K214" s="83">
        <f t="shared" ref="K214" si="457">K215+K216</f>
        <v>0</v>
      </c>
      <c r="L214" s="83">
        <f t="shared" ref="L214" si="458">L215+L216</f>
        <v>0</v>
      </c>
      <c r="M214" s="83">
        <f t="shared" ref="M214" si="459">M215+M216</f>
        <v>0</v>
      </c>
      <c r="N214" s="83">
        <f t="shared" ref="N214" si="460">N215+N216</f>
        <v>0</v>
      </c>
      <c r="O214" s="83">
        <f t="shared" ref="O214" si="461">O215+O216</f>
        <v>0</v>
      </c>
      <c r="P214" s="83">
        <f t="shared" ref="P214" si="462">P215+P216</f>
        <v>0</v>
      </c>
      <c r="Q214" s="83">
        <f t="shared" ref="Q214" si="463">Q215+Q216</f>
        <v>0</v>
      </c>
      <c r="R214" s="83">
        <f t="shared" ref="R214" si="464">R215+R216</f>
        <v>0</v>
      </c>
      <c r="S214" s="83">
        <f t="shared" ref="S214" si="465">S215+S216</f>
        <v>0</v>
      </c>
      <c r="T214" s="83">
        <f t="shared" ref="T214" si="466">T215+T216</f>
        <v>0</v>
      </c>
      <c r="U214" s="83">
        <f t="shared" ref="U214" si="467">U215+U216</f>
        <v>0</v>
      </c>
      <c r="V214" s="83">
        <f t="shared" ref="V214" si="468">V215+V216</f>
        <v>0</v>
      </c>
      <c r="W214" s="83">
        <f t="shared" ref="W214" si="469">W215+W216</f>
        <v>0</v>
      </c>
      <c r="X214" s="83">
        <f t="shared" ref="X214" si="470">X215+X216</f>
        <v>0</v>
      </c>
      <c r="Y214" s="83">
        <f t="shared" ref="Y214" si="471">Y215+Y216</f>
        <v>0</v>
      </c>
      <c r="Z214" s="83">
        <f t="shared" ref="Z214" si="472">Z215+Z216</f>
        <v>0</v>
      </c>
      <c r="AA214" s="83">
        <f t="shared" ref="AA214" si="473">AA215+AA216</f>
        <v>0</v>
      </c>
    </row>
    <row r="215" spans="2:27" hidden="1" x14ac:dyDescent="0.35">
      <c r="B215" s="69" t="s">
        <v>100</v>
      </c>
      <c r="C215" s="85">
        <f t="shared" ref="C215:AA215" si="474">C18</f>
        <v>1875000</v>
      </c>
      <c r="D215" s="85">
        <f t="shared" si="474"/>
        <v>0</v>
      </c>
      <c r="E215" s="85">
        <f t="shared" si="474"/>
        <v>0</v>
      </c>
      <c r="F215" s="85">
        <f t="shared" si="474"/>
        <v>0</v>
      </c>
      <c r="G215" s="85">
        <f t="shared" si="474"/>
        <v>0</v>
      </c>
      <c r="H215" s="85">
        <f t="shared" si="474"/>
        <v>0</v>
      </c>
      <c r="I215" s="85">
        <f t="shared" si="474"/>
        <v>0</v>
      </c>
      <c r="J215" s="85">
        <f t="shared" si="474"/>
        <v>0</v>
      </c>
      <c r="K215" s="85">
        <f t="shared" si="474"/>
        <v>0</v>
      </c>
      <c r="L215" s="85">
        <f t="shared" si="474"/>
        <v>0</v>
      </c>
      <c r="M215" s="85">
        <f t="shared" si="474"/>
        <v>0</v>
      </c>
      <c r="N215" s="85">
        <f t="shared" si="474"/>
        <v>0</v>
      </c>
      <c r="O215" s="85">
        <f t="shared" si="474"/>
        <v>0</v>
      </c>
      <c r="P215" s="85">
        <f t="shared" si="474"/>
        <v>0</v>
      </c>
      <c r="Q215" s="85">
        <f t="shared" si="474"/>
        <v>0</v>
      </c>
      <c r="R215" s="85">
        <f t="shared" si="474"/>
        <v>0</v>
      </c>
      <c r="S215" s="85">
        <f t="shared" si="474"/>
        <v>0</v>
      </c>
      <c r="T215" s="85">
        <f t="shared" si="474"/>
        <v>0</v>
      </c>
      <c r="U215" s="85">
        <f t="shared" si="474"/>
        <v>0</v>
      </c>
      <c r="V215" s="85">
        <f t="shared" si="474"/>
        <v>0</v>
      </c>
      <c r="W215" s="85">
        <f t="shared" si="474"/>
        <v>0</v>
      </c>
      <c r="X215" s="85">
        <f t="shared" si="474"/>
        <v>0</v>
      </c>
      <c r="Y215" s="85">
        <f t="shared" si="474"/>
        <v>0</v>
      </c>
      <c r="Z215" s="85">
        <f t="shared" si="474"/>
        <v>0</v>
      </c>
      <c r="AA215" s="85">
        <f t="shared" si="474"/>
        <v>0</v>
      </c>
    </row>
    <row r="216" spans="2:27" hidden="1" collapsed="1" x14ac:dyDescent="0.35">
      <c r="B216" s="69" t="s">
        <v>103</v>
      </c>
      <c r="C216" s="85">
        <f t="shared" ref="C216:E216" si="475">+SUM(C217:C228)</f>
        <v>0</v>
      </c>
      <c r="D216" s="85">
        <f t="shared" si="475"/>
        <v>2471524.9999999995</v>
      </c>
      <c r="E216" s="85">
        <f t="shared" si="475"/>
        <v>4422240.8124999991</v>
      </c>
      <c r="F216" s="85">
        <f t="shared" ref="F216" si="476">+SUM(F217:F228)</f>
        <v>5668204.1995249977</v>
      </c>
      <c r="G216" s="85">
        <f t="shared" ref="G216" si="477">+SUM(G217:G228)</f>
        <v>3930972.1824498107</v>
      </c>
      <c r="H216" s="85">
        <f t="shared" ref="H216" si="478">+SUM(H217:H228)</f>
        <v>0</v>
      </c>
      <c r="I216" s="85">
        <f t="shared" ref="I216" si="479">+SUM(I217:I228)</f>
        <v>0</v>
      </c>
      <c r="J216" s="85">
        <f t="shared" ref="J216" si="480">+SUM(J217:J228)</f>
        <v>0</v>
      </c>
      <c r="K216" s="85">
        <f t="shared" ref="K216" si="481">+SUM(K217:K228)</f>
        <v>0</v>
      </c>
      <c r="L216" s="85">
        <f t="shared" ref="L216" si="482">+SUM(L217:L228)</f>
        <v>0</v>
      </c>
      <c r="M216" s="85">
        <f t="shared" ref="M216" si="483">+SUM(M217:M228)</f>
        <v>0</v>
      </c>
      <c r="N216" s="85">
        <f t="shared" ref="N216" si="484">+SUM(N217:N228)</f>
        <v>0</v>
      </c>
      <c r="O216" s="85">
        <f t="shared" ref="O216" si="485">+SUM(O217:O228)</f>
        <v>0</v>
      </c>
      <c r="P216" s="85">
        <f t="shared" ref="P216" si="486">+SUM(P217:P228)</f>
        <v>0</v>
      </c>
      <c r="Q216" s="85">
        <f t="shared" ref="Q216" si="487">+SUM(Q217:Q228)</f>
        <v>0</v>
      </c>
      <c r="R216" s="85">
        <f t="shared" ref="R216" si="488">+SUM(R217:R228)</f>
        <v>0</v>
      </c>
      <c r="S216" s="85">
        <f t="shared" ref="S216" si="489">+SUM(S217:S228)</f>
        <v>0</v>
      </c>
      <c r="T216" s="85">
        <f t="shared" ref="T216" si="490">+SUM(T217:T228)</f>
        <v>0</v>
      </c>
      <c r="U216" s="85">
        <f t="shared" ref="U216" si="491">+SUM(U217:U228)</f>
        <v>0</v>
      </c>
      <c r="V216" s="85">
        <f t="shared" ref="V216" si="492">+SUM(V217:V228)</f>
        <v>0</v>
      </c>
      <c r="W216" s="85">
        <f t="shared" ref="W216" si="493">+SUM(W217:W228)</f>
        <v>0</v>
      </c>
      <c r="X216" s="85">
        <f t="shared" ref="X216" si="494">+SUM(X217:X228)</f>
        <v>0</v>
      </c>
      <c r="Y216" s="85">
        <f t="shared" ref="Y216" si="495">+SUM(Y217:Y228)</f>
        <v>0</v>
      </c>
      <c r="Z216" s="85">
        <f t="shared" ref="Z216" si="496">+SUM(Z217:Z228)</f>
        <v>0</v>
      </c>
      <c r="AA216" s="85">
        <f t="shared" ref="AA216" si="497">+SUM(AA217:AA228)</f>
        <v>0</v>
      </c>
    </row>
    <row r="217" spans="2:27" hidden="1" outlineLevel="1" x14ac:dyDescent="0.35">
      <c r="B217" s="126" t="s">
        <v>14</v>
      </c>
      <c r="C217" s="85">
        <f t="shared" ref="C217:AA217" si="498">C20</f>
        <v>0</v>
      </c>
      <c r="D217" s="85">
        <f t="shared" si="498"/>
        <v>2029999.9999999998</v>
      </c>
      <c r="E217" s="85">
        <f t="shared" si="498"/>
        <v>0</v>
      </c>
      <c r="F217" s="85">
        <f t="shared" si="498"/>
        <v>0</v>
      </c>
      <c r="G217" s="85">
        <f t="shared" si="498"/>
        <v>0</v>
      </c>
      <c r="H217" s="85">
        <f t="shared" si="498"/>
        <v>0</v>
      </c>
      <c r="I217" s="85">
        <f t="shared" si="498"/>
        <v>0</v>
      </c>
      <c r="J217" s="85">
        <f t="shared" si="498"/>
        <v>0</v>
      </c>
      <c r="K217" s="85">
        <f t="shared" si="498"/>
        <v>0</v>
      </c>
      <c r="L217" s="85">
        <f t="shared" si="498"/>
        <v>0</v>
      </c>
      <c r="M217" s="85">
        <f t="shared" si="498"/>
        <v>0</v>
      </c>
      <c r="N217" s="85">
        <f t="shared" si="498"/>
        <v>0</v>
      </c>
      <c r="O217" s="85">
        <f t="shared" si="498"/>
        <v>0</v>
      </c>
      <c r="P217" s="85">
        <f t="shared" si="498"/>
        <v>0</v>
      </c>
      <c r="Q217" s="85">
        <f t="shared" si="498"/>
        <v>0</v>
      </c>
      <c r="R217" s="85">
        <f t="shared" si="498"/>
        <v>0</v>
      </c>
      <c r="S217" s="85">
        <f t="shared" si="498"/>
        <v>0</v>
      </c>
      <c r="T217" s="85">
        <f t="shared" si="498"/>
        <v>0</v>
      </c>
      <c r="U217" s="85">
        <f t="shared" si="498"/>
        <v>0</v>
      </c>
      <c r="V217" s="85">
        <f t="shared" si="498"/>
        <v>0</v>
      </c>
      <c r="W217" s="85">
        <f t="shared" si="498"/>
        <v>0</v>
      </c>
      <c r="X217" s="85">
        <f t="shared" si="498"/>
        <v>0</v>
      </c>
      <c r="Y217" s="85">
        <f t="shared" si="498"/>
        <v>0</v>
      </c>
      <c r="Z217" s="85">
        <f t="shared" si="498"/>
        <v>0</v>
      </c>
      <c r="AA217" s="85">
        <f t="shared" si="498"/>
        <v>0</v>
      </c>
    </row>
    <row r="218" spans="2:27" hidden="1" outlineLevel="1" x14ac:dyDescent="0.35">
      <c r="B218" s="126" t="s">
        <v>15</v>
      </c>
      <c r="C218" s="85">
        <f t="shared" ref="C218:AA218" si="499">C21</f>
        <v>0</v>
      </c>
      <c r="D218" s="85">
        <f t="shared" si="499"/>
        <v>30449.999999999996</v>
      </c>
      <c r="E218" s="85">
        <f t="shared" si="499"/>
        <v>30906.749999999993</v>
      </c>
      <c r="F218" s="85">
        <f t="shared" si="499"/>
        <v>0</v>
      </c>
      <c r="G218" s="85">
        <f t="shared" si="499"/>
        <v>0</v>
      </c>
      <c r="H218" s="85">
        <f t="shared" si="499"/>
        <v>0</v>
      </c>
      <c r="I218" s="85">
        <f t="shared" si="499"/>
        <v>0</v>
      </c>
      <c r="J218" s="85">
        <f t="shared" si="499"/>
        <v>0</v>
      </c>
      <c r="K218" s="85">
        <f t="shared" si="499"/>
        <v>0</v>
      </c>
      <c r="L218" s="85">
        <f t="shared" si="499"/>
        <v>0</v>
      </c>
      <c r="M218" s="85">
        <f t="shared" si="499"/>
        <v>0</v>
      </c>
      <c r="N218" s="85">
        <f t="shared" si="499"/>
        <v>0</v>
      </c>
      <c r="O218" s="85">
        <f t="shared" si="499"/>
        <v>0</v>
      </c>
      <c r="P218" s="85">
        <f t="shared" si="499"/>
        <v>0</v>
      </c>
      <c r="Q218" s="85">
        <f t="shared" si="499"/>
        <v>0</v>
      </c>
      <c r="R218" s="85">
        <f t="shared" si="499"/>
        <v>0</v>
      </c>
      <c r="S218" s="85">
        <f t="shared" si="499"/>
        <v>0</v>
      </c>
      <c r="T218" s="85">
        <f t="shared" si="499"/>
        <v>0</v>
      </c>
      <c r="U218" s="85">
        <f t="shared" si="499"/>
        <v>0</v>
      </c>
      <c r="V218" s="85">
        <f t="shared" si="499"/>
        <v>0</v>
      </c>
      <c r="W218" s="85">
        <f t="shared" si="499"/>
        <v>0</v>
      </c>
      <c r="X218" s="85">
        <f t="shared" si="499"/>
        <v>0</v>
      </c>
      <c r="Y218" s="85">
        <f t="shared" si="499"/>
        <v>0</v>
      </c>
      <c r="Z218" s="85">
        <f t="shared" si="499"/>
        <v>0</v>
      </c>
      <c r="AA218" s="85">
        <f t="shared" si="499"/>
        <v>0</v>
      </c>
    </row>
    <row r="219" spans="2:27" hidden="1" outlineLevel="1" x14ac:dyDescent="0.35">
      <c r="B219" s="126" t="s">
        <v>32</v>
      </c>
      <c r="C219" s="85">
        <f t="shared" ref="C219:AA219" si="500">C22</f>
        <v>0</v>
      </c>
      <c r="D219" s="85">
        <f t="shared" si="500"/>
        <v>411074.99999999994</v>
      </c>
      <c r="E219" s="85">
        <f t="shared" si="500"/>
        <v>1808044.8749999995</v>
      </c>
      <c r="F219" s="85">
        <f t="shared" si="500"/>
        <v>564666.32249999978</v>
      </c>
      <c r="G219" s="85">
        <f t="shared" si="500"/>
        <v>0</v>
      </c>
      <c r="H219" s="85">
        <f t="shared" si="500"/>
        <v>0</v>
      </c>
      <c r="I219" s="85">
        <f t="shared" si="500"/>
        <v>0</v>
      </c>
      <c r="J219" s="85">
        <f t="shared" si="500"/>
        <v>0</v>
      </c>
      <c r="K219" s="85">
        <f t="shared" si="500"/>
        <v>0</v>
      </c>
      <c r="L219" s="85">
        <f t="shared" si="500"/>
        <v>0</v>
      </c>
      <c r="M219" s="85">
        <f t="shared" si="500"/>
        <v>0</v>
      </c>
      <c r="N219" s="85">
        <f t="shared" si="500"/>
        <v>0</v>
      </c>
      <c r="O219" s="85">
        <f t="shared" si="500"/>
        <v>0</v>
      </c>
      <c r="P219" s="85">
        <f t="shared" si="500"/>
        <v>0</v>
      </c>
      <c r="Q219" s="85">
        <f t="shared" si="500"/>
        <v>0</v>
      </c>
      <c r="R219" s="85">
        <f t="shared" si="500"/>
        <v>0</v>
      </c>
      <c r="S219" s="85">
        <f t="shared" si="500"/>
        <v>0</v>
      </c>
      <c r="T219" s="85">
        <f t="shared" si="500"/>
        <v>0</v>
      </c>
      <c r="U219" s="85">
        <f t="shared" si="500"/>
        <v>0</v>
      </c>
      <c r="V219" s="85">
        <f t="shared" si="500"/>
        <v>0</v>
      </c>
      <c r="W219" s="85">
        <f t="shared" si="500"/>
        <v>0</v>
      </c>
      <c r="X219" s="85">
        <f t="shared" si="500"/>
        <v>0</v>
      </c>
      <c r="Y219" s="85">
        <f t="shared" si="500"/>
        <v>0</v>
      </c>
      <c r="Z219" s="85">
        <f t="shared" si="500"/>
        <v>0</v>
      </c>
      <c r="AA219" s="85">
        <f t="shared" si="500"/>
        <v>0</v>
      </c>
    </row>
    <row r="220" spans="2:27" hidden="1" outlineLevel="1" x14ac:dyDescent="0.35">
      <c r="B220" s="126" t="s">
        <v>31</v>
      </c>
      <c r="C220" s="85">
        <f t="shared" ref="C220:AA220" si="501">C23</f>
        <v>0</v>
      </c>
      <c r="D220" s="85">
        <f t="shared" si="501"/>
        <v>0</v>
      </c>
      <c r="E220" s="85">
        <f t="shared" si="501"/>
        <v>2511173.4374999995</v>
      </c>
      <c r="F220" s="85">
        <f t="shared" si="501"/>
        <v>4587913.870312498</v>
      </c>
      <c r="G220" s="85">
        <f t="shared" si="501"/>
        <v>3104488.3855781234</v>
      </c>
      <c r="H220" s="85">
        <f t="shared" si="501"/>
        <v>0</v>
      </c>
      <c r="I220" s="85">
        <f t="shared" si="501"/>
        <v>0</v>
      </c>
      <c r="J220" s="85">
        <f t="shared" si="501"/>
        <v>0</v>
      </c>
      <c r="K220" s="85">
        <f t="shared" si="501"/>
        <v>0</v>
      </c>
      <c r="L220" s="85">
        <f t="shared" si="501"/>
        <v>0</v>
      </c>
      <c r="M220" s="85">
        <f t="shared" si="501"/>
        <v>0</v>
      </c>
      <c r="N220" s="85">
        <f t="shared" si="501"/>
        <v>0</v>
      </c>
      <c r="O220" s="85">
        <f t="shared" si="501"/>
        <v>0</v>
      </c>
      <c r="P220" s="85">
        <f t="shared" si="501"/>
        <v>0</v>
      </c>
      <c r="Q220" s="85">
        <f t="shared" si="501"/>
        <v>0</v>
      </c>
      <c r="R220" s="85">
        <f t="shared" si="501"/>
        <v>0</v>
      </c>
      <c r="S220" s="85">
        <f t="shared" si="501"/>
        <v>0</v>
      </c>
      <c r="T220" s="85">
        <f t="shared" si="501"/>
        <v>0</v>
      </c>
      <c r="U220" s="85">
        <f t="shared" si="501"/>
        <v>0</v>
      </c>
      <c r="V220" s="85">
        <f t="shared" si="501"/>
        <v>0</v>
      </c>
      <c r="W220" s="85">
        <f t="shared" si="501"/>
        <v>0</v>
      </c>
      <c r="X220" s="85">
        <f t="shared" si="501"/>
        <v>0</v>
      </c>
      <c r="Y220" s="85">
        <f t="shared" si="501"/>
        <v>0</v>
      </c>
      <c r="Z220" s="85">
        <f t="shared" si="501"/>
        <v>0</v>
      </c>
      <c r="AA220" s="85">
        <f t="shared" si="501"/>
        <v>0</v>
      </c>
    </row>
    <row r="221" spans="2:27" hidden="1" outlineLevel="1" x14ac:dyDescent="0.35">
      <c r="B221" s="126" t="s">
        <v>35</v>
      </c>
      <c r="C221" s="85">
        <f t="shared" ref="C221:AA221" si="502">C24</f>
        <v>0</v>
      </c>
      <c r="D221" s="85">
        <f t="shared" si="502"/>
        <v>0</v>
      </c>
      <c r="E221" s="85">
        <f t="shared" si="502"/>
        <v>72115.749999999985</v>
      </c>
      <c r="F221" s="85">
        <f t="shared" si="502"/>
        <v>131755.47524999996</v>
      </c>
      <c r="G221" s="85">
        <f t="shared" si="502"/>
        <v>89154.538252499959</v>
      </c>
      <c r="H221" s="85">
        <f t="shared" si="502"/>
        <v>0</v>
      </c>
      <c r="I221" s="85">
        <f t="shared" si="502"/>
        <v>0</v>
      </c>
      <c r="J221" s="85">
        <f t="shared" si="502"/>
        <v>0</v>
      </c>
      <c r="K221" s="85">
        <f t="shared" si="502"/>
        <v>0</v>
      </c>
      <c r="L221" s="85">
        <f t="shared" si="502"/>
        <v>0</v>
      </c>
      <c r="M221" s="85">
        <f t="shared" si="502"/>
        <v>0</v>
      </c>
      <c r="N221" s="85">
        <f t="shared" si="502"/>
        <v>0</v>
      </c>
      <c r="O221" s="85">
        <f t="shared" si="502"/>
        <v>0</v>
      </c>
      <c r="P221" s="85">
        <f t="shared" si="502"/>
        <v>0</v>
      </c>
      <c r="Q221" s="85">
        <f t="shared" si="502"/>
        <v>0</v>
      </c>
      <c r="R221" s="85">
        <f t="shared" si="502"/>
        <v>0</v>
      </c>
      <c r="S221" s="85">
        <f t="shared" si="502"/>
        <v>0</v>
      </c>
      <c r="T221" s="85">
        <f t="shared" si="502"/>
        <v>0</v>
      </c>
      <c r="U221" s="85">
        <f t="shared" si="502"/>
        <v>0</v>
      </c>
      <c r="V221" s="85">
        <f t="shared" si="502"/>
        <v>0</v>
      </c>
      <c r="W221" s="85">
        <f t="shared" si="502"/>
        <v>0</v>
      </c>
      <c r="X221" s="85">
        <f t="shared" si="502"/>
        <v>0</v>
      </c>
      <c r="Y221" s="85">
        <f t="shared" si="502"/>
        <v>0</v>
      </c>
      <c r="Z221" s="85">
        <f t="shared" si="502"/>
        <v>0</v>
      </c>
      <c r="AA221" s="85">
        <f t="shared" si="502"/>
        <v>0</v>
      </c>
    </row>
    <row r="222" spans="2:27" hidden="1" outlineLevel="1" x14ac:dyDescent="0.35">
      <c r="B222" s="126" t="s">
        <v>29</v>
      </c>
      <c r="C222" s="85">
        <f t="shared" ref="C222:AA222" si="503">C25</f>
        <v>0</v>
      </c>
      <c r="D222" s="85">
        <f t="shared" si="503"/>
        <v>0</v>
      </c>
      <c r="E222" s="85">
        <f t="shared" si="503"/>
        <v>0</v>
      </c>
      <c r="F222" s="85">
        <f t="shared" si="503"/>
        <v>210808.76039999991</v>
      </c>
      <c r="G222" s="85">
        <f t="shared" si="503"/>
        <v>499265.4142139997</v>
      </c>
      <c r="H222" s="85">
        <f t="shared" si="503"/>
        <v>0</v>
      </c>
      <c r="I222" s="85">
        <f t="shared" si="503"/>
        <v>0</v>
      </c>
      <c r="J222" s="85">
        <f t="shared" si="503"/>
        <v>0</v>
      </c>
      <c r="K222" s="85">
        <f t="shared" si="503"/>
        <v>0</v>
      </c>
      <c r="L222" s="85">
        <f t="shared" si="503"/>
        <v>0</v>
      </c>
      <c r="M222" s="85">
        <f t="shared" si="503"/>
        <v>0</v>
      </c>
      <c r="N222" s="85">
        <f t="shared" si="503"/>
        <v>0</v>
      </c>
      <c r="O222" s="85">
        <f t="shared" si="503"/>
        <v>0</v>
      </c>
      <c r="P222" s="85">
        <f t="shared" si="503"/>
        <v>0</v>
      </c>
      <c r="Q222" s="85">
        <f t="shared" si="503"/>
        <v>0</v>
      </c>
      <c r="R222" s="85">
        <f t="shared" si="503"/>
        <v>0</v>
      </c>
      <c r="S222" s="85">
        <f t="shared" si="503"/>
        <v>0</v>
      </c>
      <c r="T222" s="85">
        <f t="shared" si="503"/>
        <v>0</v>
      </c>
      <c r="U222" s="85">
        <f t="shared" si="503"/>
        <v>0</v>
      </c>
      <c r="V222" s="85">
        <f t="shared" si="503"/>
        <v>0</v>
      </c>
      <c r="W222" s="85">
        <f t="shared" si="503"/>
        <v>0</v>
      </c>
      <c r="X222" s="85">
        <f t="shared" si="503"/>
        <v>0</v>
      </c>
      <c r="Y222" s="85">
        <f t="shared" si="503"/>
        <v>0</v>
      </c>
      <c r="Z222" s="85">
        <f t="shared" si="503"/>
        <v>0</v>
      </c>
      <c r="AA222" s="85">
        <f t="shared" si="503"/>
        <v>0</v>
      </c>
    </row>
    <row r="223" spans="2:27" hidden="1" outlineLevel="1" x14ac:dyDescent="0.35">
      <c r="B223" s="126" t="s">
        <v>30</v>
      </c>
      <c r="C223" s="85">
        <f t="shared" ref="C223:AA223" si="504">C26</f>
        <v>0</v>
      </c>
      <c r="D223" s="85">
        <f t="shared" si="504"/>
        <v>0</v>
      </c>
      <c r="E223" s="85">
        <f t="shared" si="504"/>
        <v>0</v>
      </c>
      <c r="F223" s="85">
        <f t="shared" si="504"/>
        <v>46009.848499999986</v>
      </c>
      <c r="G223" s="85">
        <f t="shared" si="504"/>
        <v>70049.994341249956</v>
      </c>
      <c r="H223" s="85">
        <f t="shared" si="504"/>
        <v>0</v>
      </c>
      <c r="I223" s="85">
        <f t="shared" si="504"/>
        <v>0</v>
      </c>
      <c r="J223" s="85">
        <f t="shared" si="504"/>
        <v>0</v>
      </c>
      <c r="K223" s="85">
        <f t="shared" si="504"/>
        <v>0</v>
      </c>
      <c r="L223" s="85">
        <f t="shared" si="504"/>
        <v>0</v>
      </c>
      <c r="M223" s="85">
        <f t="shared" si="504"/>
        <v>0</v>
      </c>
      <c r="N223" s="85">
        <f t="shared" si="504"/>
        <v>0</v>
      </c>
      <c r="O223" s="85">
        <f t="shared" si="504"/>
        <v>0</v>
      </c>
      <c r="P223" s="85">
        <f t="shared" si="504"/>
        <v>0</v>
      </c>
      <c r="Q223" s="85">
        <f t="shared" si="504"/>
        <v>0</v>
      </c>
      <c r="R223" s="85">
        <f t="shared" si="504"/>
        <v>0</v>
      </c>
      <c r="S223" s="85">
        <f t="shared" si="504"/>
        <v>0</v>
      </c>
      <c r="T223" s="85">
        <f t="shared" si="504"/>
        <v>0</v>
      </c>
      <c r="U223" s="85">
        <f t="shared" si="504"/>
        <v>0</v>
      </c>
      <c r="V223" s="85">
        <f t="shared" si="504"/>
        <v>0</v>
      </c>
      <c r="W223" s="85">
        <f t="shared" si="504"/>
        <v>0</v>
      </c>
      <c r="X223" s="85">
        <f t="shared" si="504"/>
        <v>0</v>
      </c>
      <c r="Y223" s="85">
        <f t="shared" si="504"/>
        <v>0</v>
      </c>
      <c r="Z223" s="85">
        <f t="shared" si="504"/>
        <v>0</v>
      </c>
      <c r="AA223" s="85">
        <f t="shared" si="504"/>
        <v>0</v>
      </c>
    </row>
    <row r="224" spans="2:27" hidden="1" outlineLevel="1" x14ac:dyDescent="0.35">
      <c r="B224" s="126" t="s">
        <v>21</v>
      </c>
      <c r="C224" s="85">
        <f t="shared" ref="C224:AA224" si="505">C27</f>
        <v>0</v>
      </c>
      <c r="D224" s="85">
        <f t="shared" si="505"/>
        <v>0</v>
      </c>
      <c r="E224" s="85">
        <f t="shared" si="505"/>
        <v>0</v>
      </c>
      <c r="F224" s="85">
        <f t="shared" si="505"/>
        <v>13802.954549999995</v>
      </c>
      <c r="G224" s="85">
        <f t="shared" si="505"/>
        <v>32689.997359249977</v>
      </c>
      <c r="H224" s="85">
        <f t="shared" si="505"/>
        <v>0</v>
      </c>
      <c r="I224" s="85">
        <f t="shared" si="505"/>
        <v>0</v>
      </c>
      <c r="J224" s="85">
        <f t="shared" si="505"/>
        <v>0</v>
      </c>
      <c r="K224" s="85">
        <f t="shared" si="505"/>
        <v>0</v>
      </c>
      <c r="L224" s="85">
        <f t="shared" si="505"/>
        <v>0</v>
      </c>
      <c r="M224" s="85">
        <f t="shared" si="505"/>
        <v>0</v>
      </c>
      <c r="N224" s="85">
        <f t="shared" si="505"/>
        <v>0</v>
      </c>
      <c r="O224" s="85">
        <f t="shared" si="505"/>
        <v>0</v>
      </c>
      <c r="P224" s="85">
        <f t="shared" si="505"/>
        <v>0</v>
      </c>
      <c r="Q224" s="85">
        <f t="shared" si="505"/>
        <v>0</v>
      </c>
      <c r="R224" s="85">
        <f t="shared" si="505"/>
        <v>0</v>
      </c>
      <c r="S224" s="85">
        <f t="shared" si="505"/>
        <v>0</v>
      </c>
      <c r="T224" s="85">
        <f t="shared" si="505"/>
        <v>0</v>
      </c>
      <c r="U224" s="85">
        <f t="shared" si="505"/>
        <v>0</v>
      </c>
      <c r="V224" s="85">
        <f t="shared" si="505"/>
        <v>0</v>
      </c>
      <c r="W224" s="85">
        <f t="shared" si="505"/>
        <v>0</v>
      </c>
      <c r="X224" s="85">
        <f t="shared" si="505"/>
        <v>0</v>
      </c>
      <c r="Y224" s="85">
        <f t="shared" si="505"/>
        <v>0</v>
      </c>
      <c r="Z224" s="85">
        <f t="shared" si="505"/>
        <v>0</v>
      </c>
      <c r="AA224" s="85">
        <f t="shared" si="505"/>
        <v>0</v>
      </c>
    </row>
    <row r="225" spans="1:27" hidden="1" outlineLevel="1" x14ac:dyDescent="0.35">
      <c r="B225" s="126" t="s">
        <v>33</v>
      </c>
      <c r="C225" s="85">
        <f t="shared" ref="C225:AA225" si="506">C28</f>
        <v>0</v>
      </c>
      <c r="D225" s="85">
        <f t="shared" si="506"/>
        <v>0</v>
      </c>
      <c r="E225" s="85">
        <f t="shared" si="506"/>
        <v>0</v>
      </c>
      <c r="F225" s="85">
        <f t="shared" si="506"/>
        <v>3764.4421499999985</v>
      </c>
      <c r="G225" s="85">
        <f t="shared" si="506"/>
        <v>8915.4538252499951</v>
      </c>
      <c r="H225" s="85">
        <f t="shared" si="506"/>
        <v>0</v>
      </c>
      <c r="I225" s="85">
        <f t="shared" si="506"/>
        <v>0</v>
      </c>
      <c r="J225" s="85">
        <f t="shared" si="506"/>
        <v>0</v>
      </c>
      <c r="K225" s="85">
        <f t="shared" si="506"/>
        <v>0</v>
      </c>
      <c r="L225" s="85">
        <f t="shared" si="506"/>
        <v>0</v>
      </c>
      <c r="M225" s="85">
        <f t="shared" si="506"/>
        <v>0</v>
      </c>
      <c r="N225" s="85">
        <f t="shared" si="506"/>
        <v>0</v>
      </c>
      <c r="O225" s="85">
        <f t="shared" si="506"/>
        <v>0</v>
      </c>
      <c r="P225" s="85">
        <f t="shared" si="506"/>
        <v>0</v>
      </c>
      <c r="Q225" s="85">
        <f t="shared" si="506"/>
        <v>0</v>
      </c>
      <c r="R225" s="85">
        <f t="shared" si="506"/>
        <v>0</v>
      </c>
      <c r="S225" s="85">
        <f t="shared" si="506"/>
        <v>0</v>
      </c>
      <c r="T225" s="85">
        <f t="shared" si="506"/>
        <v>0</v>
      </c>
      <c r="U225" s="85">
        <f t="shared" si="506"/>
        <v>0</v>
      </c>
      <c r="V225" s="85">
        <f t="shared" si="506"/>
        <v>0</v>
      </c>
      <c r="W225" s="85">
        <f t="shared" si="506"/>
        <v>0</v>
      </c>
      <c r="X225" s="85">
        <f t="shared" si="506"/>
        <v>0</v>
      </c>
      <c r="Y225" s="85">
        <f t="shared" si="506"/>
        <v>0</v>
      </c>
      <c r="Z225" s="85">
        <f t="shared" si="506"/>
        <v>0</v>
      </c>
      <c r="AA225" s="85">
        <f t="shared" si="506"/>
        <v>0</v>
      </c>
    </row>
    <row r="226" spans="1:27" hidden="1" outlineLevel="1" x14ac:dyDescent="0.35">
      <c r="B226" s="126" t="s">
        <v>34</v>
      </c>
      <c r="C226" s="85">
        <f t="shared" ref="C226:AA226" si="507">C29</f>
        <v>0</v>
      </c>
      <c r="D226" s="85">
        <f t="shared" si="507"/>
        <v>0</v>
      </c>
      <c r="E226" s="85">
        <f t="shared" si="507"/>
        <v>0</v>
      </c>
      <c r="F226" s="85">
        <f t="shared" si="507"/>
        <v>7528.884299999997</v>
      </c>
      <c r="G226" s="85">
        <f t="shared" si="507"/>
        <v>17830.90765049999</v>
      </c>
      <c r="H226" s="85">
        <f t="shared" si="507"/>
        <v>0</v>
      </c>
      <c r="I226" s="85">
        <f t="shared" si="507"/>
        <v>0</v>
      </c>
      <c r="J226" s="85">
        <f t="shared" si="507"/>
        <v>0</v>
      </c>
      <c r="K226" s="85">
        <f t="shared" si="507"/>
        <v>0</v>
      </c>
      <c r="L226" s="85">
        <f t="shared" si="507"/>
        <v>0</v>
      </c>
      <c r="M226" s="85">
        <f t="shared" si="507"/>
        <v>0</v>
      </c>
      <c r="N226" s="85">
        <f t="shared" si="507"/>
        <v>0</v>
      </c>
      <c r="O226" s="85">
        <f t="shared" si="507"/>
        <v>0</v>
      </c>
      <c r="P226" s="85">
        <f t="shared" si="507"/>
        <v>0</v>
      </c>
      <c r="Q226" s="85">
        <f t="shared" si="507"/>
        <v>0</v>
      </c>
      <c r="R226" s="85">
        <f t="shared" si="507"/>
        <v>0</v>
      </c>
      <c r="S226" s="85">
        <f t="shared" si="507"/>
        <v>0</v>
      </c>
      <c r="T226" s="85">
        <f t="shared" si="507"/>
        <v>0</v>
      </c>
      <c r="U226" s="85">
        <f t="shared" si="507"/>
        <v>0</v>
      </c>
      <c r="V226" s="85">
        <f t="shared" si="507"/>
        <v>0</v>
      </c>
      <c r="W226" s="85">
        <f t="shared" si="507"/>
        <v>0</v>
      </c>
      <c r="X226" s="85">
        <f t="shared" si="507"/>
        <v>0</v>
      </c>
      <c r="Y226" s="85">
        <f t="shared" si="507"/>
        <v>0</v>
      </c>
      <c r="Z226" s="85">
        <f t="shared" si="507"/>
        <v>0</v>
      </c>
      <c r="AA226" s="85">
        <f t="shared" si="507"/>
        <v>0</v>
      </c>
    </row>
    <row r="227" spans="1:27" hidden="1" outlineLevel="1" x14ac:dyDescent="0.35">
      <c r="B227" s="126" t="s">
        <v>38</v>
      </c>
      <c r="C227" s="85">
        <f t="shared" ref="C227:AA227" si="508">C30</f>
        <v>0</v>
      </c>
      <c r="D227" s="85">
        <f t="shared" si="508"/>
        <v>0</v>
      </c>
      <c r="E227" s="85">
        <f t="shared" si="508"/>
        <v>0</v>
      </c>
      <c r="F227" s="85">
        <f t="shared" si="508"/>
        <v>101953.64156249996</v>
      </c>
      <c r="G227" s="85">
        <f t="shared" si="508"/>
        <v>103482.94618593744</v>
      </c>
      <c r="H227" s="85">
        <f t="shared" si="508"/>
        <v>0</v>
      </c>
      <c r="I227" s="85">
        <f t="shared" si="508"/>
        <v>0</v>
      </c>
      <c r="J227" s="85">
        <f t="shared" si="508"/>
        <v>0</v>
      </c>
      <c r="K227" s="85">
        <f t="shared" si="508"/>
        <v>0</v>
      </c>
      <c r="L227" s="85">
        <f t="shared" si="508"/>
        <v>0</v>
      </c>
      <c r="M227" s="85">
        <f t="shared" si="508"/>
        <v>0</v>
      </c>
      <c r="N227" s="85">
        <f t="shared" si="508"/>
        <v>0</v>
      </c>
      <c r="O227" s="85">
        <f t="shared" si="508"/>
        <v>0</v>
      </c>
      <c r="P227" s="85">
        <f t="shared" si="508"/>
        <v>0</v>
      </c>
      <c r="Q227" s="85">
        <f t="shared" si="508"/>
        <v>0</v>
      </c>
      <c r="R227" s="85">
        <f t="shared" si="508"/>
        <v>0</v>
      </c>
      <c r="S227" s="85">
        <f t="shared" si="508"/>
        <v>0</v>
      </c>
      <c r="T227" s="85">
        <f t="shared" si="508"/>
        <v>0</v>
      </c>
      <c r="U227" s="85">
        <f t="shared" si="508"/>
        <v>0</v>
      </c>
      <c r="V227" s="85">
        <f t="shared" si="508"/>
        <v>0</v>
      </c>
      <c r="W227" s="85">
        <f t="shared" si="508"/>
        <v>0</v>
      </c>
      <c r="X227" s="85">
        <f t="shared" si="508"/>
        <v>0</v>
      </c>
      <c r="Y227" s="85">
        <f t="shared" si="508"/>
        <v>0</v>
      </c>
      <c r="Z227" s="85">
        <f t="shared" si="508"/>
        <v>0</v>
      </c>
      <c r="AA227" s="85">
        <f t="shared" si="508"/>
        <v>0</v>
      </c>
    </row>
    <row r="228" spans="1:27" hidden="1" outlineLevel="1" x14ac:dyDescent="0.35">
      <c r="B228" s="126" t="s">
        <v>50</v>
      </c>
      <c r="C228" s="85">
        <f t="shared" ref="C228:AA228" si="509">C31</f>
        <v>0</v>
      </c>
      <c r="D228" s="85">
        <f t="shared" si="509"/>
        <v>0</v>
      </c>
      <c r="E228" s="85">
        <f t="shared" si="509"/>
        <v>0</v>
      </c>
      <c r="F228" s="85">
        <f t="shared" si="509"/>
        <v>0</v>
      </c>
      <c r="G228" s="85">
        <f t="shared" si="509"/>
        <v>5094.5450429999973</v>
      </c>
      <c r="H228" s="85">
        <f t="shared" si="509"/>
        <v>0</v>
      </c>
      <c r="I228" s="85">
        <f t="shared" si="509"/>
        <v>0</v>
      </c>
      <c r="J228" s="85">
        <f t="shared" si="509"/>
        <v>0</v>
      </c>
      <c r="K228" s="85">
        <f t="shared" si="509"/>
        <v>0</v>
      </c>
      <c r="L228" s="85">
        <f t="shared" si="509"/>
        <v>0</v>
      </c>
      <c r="M228" s="85">
        <f t="shared" si="509"/>
        <v>0</v>
      </c>
      <c r="N228" s="85">
        <f t="shared" si="509"/>
        <v>0</v>
      </c>
      <c r="O228" s="85">
        <f t="shared" si="509"/>
        <v>0</v>
      </c>
      <c r="P228" s="85">
        <f t="shared" si="509"/>
        <v>0</v>
      </c>
      <c r="Q228" s="85">
        <f t="shared" si="509"/>
        <v>0</v>
      </c>
      <c r="R228" s="85">
        <f t="shared" si="509"/>
        <v>0</v>
      </c>
      <c r="S228" s="85">
        <f t="shared" si="509"/>
        <v>0</v>
      </c>
      <c r="T228" s="85">
        <f t="shared" si="509"/>
        <v>0</v>
      </c>
      <c r="U228" s="85">
        <f t="shared" si="509"/>
        <v>0</v>
      </c>
      <c r="V228" s="85">
        <f t="shared" si="509"/>
        <v>0</v>
      </c>
      <c r="W228" s="85">
        <f t="shared" si="509"/>
        <v>0</v>
      </c>
      <c r="X228" s="85">
        <f t="shared" si="509"/>
        <v>0</v>
      </c>
      <c r="Y228" s="85">
        <f t="shared" si="509"/>
        <v>0</v>
      </c>
      <c r="Z228" s="85">
        <f t="shared" si="509"/>
        <v>0</v>
      </c>
      <c r="AA228" s="85">
        <f t="shared" si="509"/>
        <v>0</v>
      </c>
    </row>
    <row r="229" spans="1:27" hidden="1" x14ac:dyDescent="0.35">
      <c r="B229" s="70" t="s">
        <v>123</v>
      </c>
      <c r="C229" s="88">
        <f t="shared" ref="C229:AA229" si="510">C201-C203-C214</f>
        <v>-1875000</v>
      </c>
      <c r="D229" s="88">
        <f t="shared" si="510"/>
        <v>-2659024.9999999995</v>
      </c>
      <c r="E229" s="88">
        <f t="shared" si="510"/>
        <v>-4856893.3124999991</v>
      </c>
      <c r="F229" s="88">
        <f t="shared" si="510"/>
        <v>-7178176.2961349972</v>
      </c>
      <c r="G229" s="88">
        <f t="shared" si="510"/>
        <v>-7945036.9760139091</v>
      </c>
      <c r="H229" s="88">
        <f t="shared" si="510"/>
        <v>-2476378.2078251997</v>
      </c>
      <c r="I229" s="88">
        <f t="shared" si="510"/>
        <v>-2399703.8266784917</v>
      </c>
      <c r="J229" s="88">
        <f t="shared" si="510"/>
        <v>-2323256.9254791681</v>
      </c>
      <c r="K229" s="88">
        <f t="shared" si="510"/>
        <v>-2247040.9164264407</v>
      </c>
      <c r="L229" s="88">
        <f t="shared" si="510"/>
        <v>-2171059.2629025076</v>
      </c>
      <c r="M229" s="88">
        <f t="shared" si="510"/>
        <v>-2095315.4802403012</v>
      </c>
      <c r="N229" s="88">
        <f t="shared" si="510"/>
        <v>-2019813.1365027474</v>
      </c>
      <c r="O229" s="88">
        <f t="shared" si="510"/>
        <v>-1944555.8532737158</v>
      </c>
      <c r="P229" s="88">
        <f t="shared" si="510"/>
        <v>-2472334.3721905053</v>
      </c>
      <c r="Q229" s="88">
        <f t="shared" si="510"/>
        <v>-4733723.9939728081</v>
      </c>
      <c r="R229" s="88">
        <f t="shared" si="510"/>
        <v>-1720291.4022341846</v>
      </c>
      <c r="S229" s="88">
        <f t="shared" si="510"/>
        <v>-1646051.6756494672</v>
      </c>
      <c r="T229" s="88">
        <f t="shared" si="510"/>
        <v>-1572075.9488305645</v>
      </c>
      <c r="U229" s="88">
        <f t="shared" si="510"/>
        <v>-1498368.1817739638</v>
      </c>
      <c r="V229" s="88">
        <f t="shared" si="510"/>
        <v>-1424932.3938761</v>
      </c>
      <c r="W229" s="88">
        <f t="shared" si="510"/>
        <v>-1351772.6648243535</v>
      </c>
      <c r="X229" s="88">
        <f t="shared" si="510"/>
        <v>-1278893.1355014166</v>
      </c>
      <c r="Y229" s="88">
        <f t="shared" si="510"/>
        <v>-1206298.0089032212</v>
      </c>
      <c r="Z229" s="88">
        <f t="shared" si="510"/>
        <v>-1133991.5510706385</v>
      </c>
      <c r="AA229" s="88">
        <f t="shared" si="510"/>
        <v>-1061978.041062779</v>
      </c>
    </row>
    <row r="230" spans="1:27" hidden="1" x14ac:dyDescent="0.35"/>
    <row r="231" spans="1:27" hidden="1" x14ac:dyDescent="0.35">
      <c r="B231" s="3" t="s">
        <v>144</v>
      </c>
    </row>
    <row r="232" spans="1:27" hidden="1" x14ac:dyDescent="0.35">
      <c r="B232" t="s">
        <v>148</v>
      </c>
      <c r="C232" s="127">
        <f t="shared" ref="C232" si="511">+C233-C235</f>
        <v>1875000</v>
      </c>
      <c r="D232" s="127">
        <f t="shared" ref="D232" si="512">+C232+D233-D235</f>
        <v>4346525</v>
      </c>
      <c r="E232" s="127">
        <f t="shared" ref="E232" si="513">+D232+E233-E235</f>
        <v>8768765.8125</v>
      </c>
      <c r="F232" s="127">
        <f t="shared" ref="F232" si="514">+E232+F233-F235</f>
        <v>14436970.012024999</v>
      </c>
      <c r="G232" s="127">
        <f t="shared" ref="G232" si="515">+F232+G233-G235</f>
        <v>18367942.194474809</v>
      </c>
      <c r="H232" s="127">
        <f t="shared" ref="H232" si="516">+G232+H233-H235</f>
        <v>17449545.08475107</v>
      </c>
      <c r="I232" s="127">
        <f t="shared" ref="I232" si="517">+H232+I233-I235</f>
        <v>16531147.975027328</v>
      </c>
      <c r="J232" s="127">
        <f t="shared" ref="J232" si="518">+I232+J233-J235</f>
        <v>15612750.865303587</v>
      </c>
      <c r="K232" s="127">
        <f t="shared" ref="K232" si="519">+J232+K233-K235</f>
        <v>14694353.755579846</v>
      </c>
      <c r="L232" s="127">
        <f t="shared" ref="L232" si="520">+K232+L233-L235</f>
        <v>13775956.645856105</v>
      </c>
      <c r="M232" s="127">
        <f t="shared" ref="M232" si="521">+L232+M233-M235</f>
        <v>12857559.536132364</v>
      </c>
      <c r="N232" s="127">
        <f t="shared" ref="N232" si="522">+M232+N233-N235</f>
        <v>11939162.426408622</v>
      </c>
      <c r="O232" s="127">
        <f t="shared" ref="O232" si="523">+N232+O233-O235</f>
        <v>11020765.316684881</v>
      </c>
      <c r="P232" s="127">
        <f t="shared" ref="P232" si="524">+O232+P233-P235</f>
        <v>10102368.20696114</v>
      </c>
      <c r="Q232" s="127">
        <f t="shared" ref="Q232" si="525">+P232+Q233-Q235</f>
        <v>9183971.0972373988</v>
      </c>
      <c r="R232" s="127">
        <f t="shared" ref="R232" si="526">+Q232+R233-R235</f>
        <v>8265573.9875136586</v>
      </c>
      <c r="S232" s="127">
        <f t="shared" ref="S232" si="527">+R232+S233-S235</f>
        <v>7347176.8777899183</v>
      </c>
      <c r="T232" s="127">
        <f t="shared" ref="T232" si="528">+S232+T233-T235</f>
        <v>6428779.7680661781</v>
      </c>
      <c r="U232" s="127">
        <f t="shared" ref="U232" si="529">+T232+U233-U235</f>
        <v>5510382.6583424378</v>
      </c>
      <c r="V232" s="127">
        <f t="shared" ref="V232" si="530">+U232+V233-V235</f>
        <v>4591985.5486186976</v>
      </c>
      <c r="W232" s="127">
        <f t="shared" ref="W232" si="531">+V232+W233-W235</f>
        <v>3673588.4388949573</v>
      </c>
      <c r="X232" s="127">
        <f t="shared" ref="X232" si="532">+W232+X233-X235</f>
        <v>2755191.329171217</v>
      </c>
      <c r="Y232" s="127">
        <f t="shared" ref="Y232" si="533">+X232+Y233-Y235</f>
        <v>1836794.2194474766</v>
      </c>
      <c r="Z232" s="127">
        <f>ROUND(Y232+Z233-Z235,1)</f>
        <v>918397.1</v>
      </c>
      <c r="AA232" s="127">
        <f>ROUND(Z232+AA233-AA235,1)</f>
        <v>0</v>
      </c>
    </row>
    <row r="233" spans="1:27" hidden="1" x14ac:dyDescent="0.35">
      <c r="B233" t="s">
        <v>142</v>
      </c>
      <c r="C233" s="127">
        <f t="shared" ref="C233:AA233" si="534">+C214</f>
        <v>1875000</v>
      </c>
      <c r="D233" s="127">
        <f t="shared" si="534"/>
        <v>2471524.9999999995</v>
      </c>
      <c r="E233" s="127">
        <f t="shared" si="534"/>
        <v>4422240.8124999991</v>
      </c>
      <c r="F233" s="127">
        <f t="shared" si="534"/>
        <v>5668204.1995249977</v>
      </c>
      <c r="G233" s="127">
        <f t="shared" si="534"/>
        <v>3930972.1824498107</v>
      </c>
      <c r="H233" s="127">
        <f t="shared" si="534"/>
        <v>0</v>
      </c>
      <c r="I233" s="127">
        <f t="shared" si="534"/>
        <v>0</v>
      </c>
      <c r="J233" s="127">
        <f t="shared" si="534"/>
        <v>0</v>
      </c>
      <c r="K233" s="127">
        <f t="shared" si="534"/>
        <v>0</v>
      </c>
      <c r="L233" s="127">
        <f t="shared" si="534"/>
        <v>0</v>
      </c>
      <c r="M233" s="127">
        <f t="shared" si="534"/>
        <v>0</v>
      </c>
      <c r="N233" s="127">
        <f t="shared" si="534"/>
        <v>0</v>
      </c>
      <c r="O233" s="127">
        <f t="shared" si="534"/>
        <v>0</v>
      </c>
      <c r="P233" s="127">
        <f t="shared" si="534"/>
        <v>0</v>
      </c>
      <c r="Q233" s="127">
        <f t="shared" si="534"/>
        <v>0</v>
      </c>
      <c r="R233" s="127">
        <f t="shared" si="534"/>
        <v>0</v>
      </c>
      <c r="S233" s="127">
        <f t="shared" si="534"/>
        <v>0</v>
      </c>
      <c r="T233" s="127">
        <f t="shared" si="534"/>
        <v>0</v>
      </c>
      <c r="U233" s="127">
        <f t="shared" si="534"/>
        <v>0</v>
      </c>
      <c r="V233" s="127">
        <f t="shared" si="534"/>
        <v>0</v>
      </c>
      <c r="W233" s="127">
        <f t="shared" si="534"/>
        <v>0</v>
      </c>
      <c r="X233" s="127">
        <f t="shared" si="534"/>
        <v>0</v>
      </c>
      <c r="Y233" s="127">
        <f t="shared" si="534"/>
        <v>0</v>
      </c>
      <c r="Z233" s="127">
        <f t="shared" si="534"/>
        <v>0</v>
      </c>
      <c r="AA233" s="127">
        <f t="shared" si="534"/>
        <v>0</v>
      </c>
    </row>
    <row r="234" spans="1:27" hidden="1" x14ac:dyDescent="0.35">
      <c r="B234" t="s">
        <v>145</v>
      </c>
      <c r="C234" s="127">
        <v>0</v>
      </c>
      <c r="D234" s="127">
        <f>+C232*'Sensitivity 2'!$D$3</f>
        <v>187500</v>
      </c>
      <c r="E234" s="127">
        <f>+D232*'Sensitivity 2'!$D$3</f>
        <v>434652.5</v>
      </c>
      <c r="F234" s="127">
        <f>+E232*'Sensitivity 2'!$D$3</f>
        <v>876876.58125000005</v>
      </c>
      <c r="G234" s="127">
        <f>+F232*'Sensitivity 2'!$D$3</f>
        <v>1443697.0012025</v>
      </c>
      <c r="H234" s="127">
        <f>+G232*'Sensitivity 2'!$D$3</f>
        <v>1836794.219447481</v>
      </c>
      <c r="I234" s="127">
        <f>+H232*'Sensitivity 2'!$D$3</f>
        <v>1744954.5084751071</v>
      </c>
      <c r="J234" s="127">
        <f>+I232*'Sensitivity 2'!$D$3</f>
        <v>1653114.7975027328</v>
      </c>
      <c r="K234" s="127">
        <f>+J232*'Sensitivity 2'!$D$3</f>
        <v>1561275.0865303588</v>
      </c>
      <c r="L234" s="127">
        <f>+K232*'Sensitivity 2'!$D$3</f>
        <v>1469435.3755579847</v>
      </c>
      <c r="M234" s="127">
        <f>+L232*'Sensitivity 2'!$D$3</f>
        <v>1377595.6645856106</v>
      </c>
      <c r="N234" s="127">
        <f>+M232*'Sensitivity 2'!$D$3</f>
        <v>1285755.9536132365</v>
      </c>
      <c r="O234" s="127">
        <f>+N232*'Sensitivity 2'!$D$3</f>
        <v>1193916.2426408622</v>
      </c>
      <c r="P234" s="127">
        <f>+O232*'Sensitivity 2'!$D$3</f>
        <v>1102076.5316684882</v>
      </c>
      <c r="Q234" s="127">
        <f>+P232*'Sensitivity 2'!$D$3</f>
        <v>1010236.8206961141</v>
      </c>
      <c r="R234" s="127">
        <f>+Q232*'Sensitivity 2'!$D$3</f>
        <v>918397.10972373991</v>
      </c>
      <c r="S234" s="127">
        <f>+R232*'Sensitivity 2'!$D$3</f>
        <v>826557.39875136595</v>
      </c>
      <c r="T234" s="127">
        <f>+S232*'Sensitivity 2'!$D$3</f>
        <v>734717.68777899188</v>
      </c>
      <c r="U234" s="127">
        <f>+T232*'Sensitivity 2'!$D$3</f>
        <v>642877.97680661781</v>
      </c>
      <c r="V234" s="127">
        <f>+U232*'Sensitivity 2'!$D$3</f>
        <v>551038.26583424385</v>
      </c>
      <c r="W234" s="127">
        <f>+V232*'Sensitivity 2'!$D$3</f>
        <v>459198.55486186978</v>
      </c>
      <c r="X234" s="127">
        <f>+W232*'Sensitivity 2'!$D$3</f>
        <v>367358.84388949577</v>
      </c>
      <c r="Y234" s="127">
        <f>+X232*'Sensitivity 2'!$D$3</f>
        <v>275519.13291712169</v>
      </c>
      <c r="Z234" s="127">
        <f>+Y232*'Sensitivity 2'!$D$3</f>
        <v>183679.42194474768</v>
      </c>
      <c r="AA234" s="127">
        <f>+Z232*'Sensitivity 2'!$D$3</f>
        <v>91839.71</v>
      </c>
    </row>
    <row r="235" spans="1:27" hidden="1" x14ac:dyDescent="0.35">
      <c r="B235" t="s">
        <v>147</v>
      </c>
      <c r="C235" s="127">
        <v>0</v>
      </c>
      <c r="D235" s="127">
        <v>0</v>
      </c>
      <c r="E235" s="127">
        <v>0</v>
      </c>
      <c r="F235" s="127">
        <v>0</v>
      </c>
      <c r="G235" s="127">
        <v>0</v>
      </c>
      <c r="H235" s="127">
        <f t="shared" ref="H235" si="535">+G232/20</f>
        <v>918397.10972374049</v>
      </c>
      <c r="I235" s="127">
        <f t="shared" ref="I235" si="536">+H235</f>
        <v>918397.10972374049</v>
      </c>
      <c r="J235" s="127">
        <f t="shared" ref="J235" si="537">+I235</f>
        <v>918397.10972374049</v>
      </c>
      <c r="K235" s="127">
        <f t="shared" ref="K235" si="538">+J235</f>
        <v>918397.10972374049</v>
      </c>
      <c r="L235" s="127">
        <f t="shared" ref="L235" si="539">+K235</f>
        <v>918397.10972374049</v>
      </c>
      <c r="M235" s="127">
        <f t="shared" ref="M235" si="540">+L235</f>
        <v>918397.10972374049</v>
      </c>
      <c r="N235" s="127">
        <f t="shared" ref="N235" si="541">+M235</f>
        <v>918397.10972374049</v>
      </c>
      <c r="O235" s="127">
        <f t="shared" ref="O235" si="542">+N235</f>
        <v>918397.10972374049</v>
      </c>
      <c r="P235" s="127">
        <f t="shared" ref="P235" si="543">+O235</f>
        <v>918397.10972374049</v>
      </c>
      <c r="Q235" s="127">
        <f t="shared" ref="Q235" si="544">+P235</f>
        <v>918397.10972374049</v>
      </c>
      <c r="R235" s="127">
        <f t="shared" ref="R235" si="545">+Q235</f>
        <v>918397.10972374049</v>
      </c>
      <c r="S235" s="127">
        <f t="shared" ref="S235" si="546">+R235</f>
        <v>918397.10972374049</v>
      </c>
      <c r="T235" s="127">
        <f t="shared" ref="T235" si="547">+S235</f>
        <v>918397.10972374049</v>
      </c>
      <c r="U235" s="127">
        <f t="shared" ref="U235" si="548">+T235</f>
        <v>918397.10972374049</v>
      </c>
      <c r="V235" s="127">
        <f t="shared" ref="V235" si="549">+U235</f>
        <v>918397.10972374049</v>
      </c>
      <c r="W235" s="127">
        <f t="shared" ref="W235" si="550">+V235</f>
        <v>918397.10972374049</v>
      </c>
      <c r="X235" s="127">
        <f t="shared" ref="X235" si="551">+W235</f>
        <v>918397.10972374049</v>
      </c>
      <c r="Y235" s="127">
        <f t="shared" ref="Y235" si="552">+X235</f>
        <v>918397.10972374049</v>
      </c>
      <c r="Z235" s="127">
        <f t="shared" ref="Z235" si="553">+Y235</f>
        <v>918397.10972374049</v>
      </c>
      <c r="AA235" s="127">
        <f t="shared" ref="AA235" si="554">+Z235</f>
        <v>918397.10972374049</v>
      </c>
    </row>
    <row r="236" spans="1:27" hidden="1" x14ac:dyDescent="0.35">
      <c r="B236" t="s">
        <v>141</v>
      </c>
      <c r="C236" s="127">
        <f t="shared" ref="C236:AA236" si="555">+C234+C235</f>
        <v>0</v>
      </c>
      <c r="D236" s="127">
        <f t="shared" si="555"/>
        <v>187500</v>
      </c>
      <c r="E236" s="127">
        <f t="shared" si="555"/>
        <v>434652.5</v>
      </c>
      <c r="F236" s="127">
        <f t="shared" si="555"/>
        <v>876876.58125000005</v>
      </c>
      <c r="G236" s="127">
        <f t="shared" si="555"/>
        <v>1443697.0012025</v>
      </c>
      <c r="H236" s="127">
        <f t="shared" si="555"/>
        <v>2755191.3291712217</v>
      </c>
      <c r="I236" s="127">
        <f t="shared" si="555"/>
        <v>2663351.6181988474</v>
      </c>
      <c r="J236" s="127">
        <f t="shared" si="555"/>
        <v>2571511.9072264731</v>
      </c>
      <c r="K236" s="127">
        <f t="shared" si="555"/>
        <v>2479672.1962540993</v>
      </c>
      <c r="L236" s="127">
        <f t="shared" si="555"/>
        <v>2387832.4852817254</v>
      </c>
      <c r="M236" s="127">
        <f t="shared" si="555"/>
        <v>2295992.7743093511</v>
      </c>
      <c r="N236" s="127">
        <f t="shared" si="555"/>
        <v>2204153.0633369768</v>
      </c>
      <c r="O236" s="127">
        <f t="shared" si="555"/>
        <v>2112313.3523646025</v>
      </c>
      <c r="P236" s="127">
        <f t="shared" si="555"/>
        <v>2020473.6413922287</v>
      </c>
      <c r="Q236" s="127">
        <f t="shared" si="555"/>
        <v>1928633.9304198546</v>
      </c>
      <c r="R236" s="127">
        <f t="shared" si="555"/>
        <v>1836794.2194474805</v>
      </c>
      <c r="S236" s="127">
        <f t="shared" si="555"/>
        <v>1744954.5084751064</v>
      </c>
      <c r="T236" s="127">
        <f t="shared" si="555"/>
        <v>1653114.7975027324</v>
      </c>
      <c r="U236" s="127">
        <f t="shared" si="555"/>
        <v>1561275.0865303583</v>
      </c>
      <c r="V236" s="127">
        <f t="shared" si="555"/>
        <v>1469435.3755579842</v>
      </c>
      <c r="W236" s="127">
        <f t="shared" si="555"/>
        <v>1377595.6645856104</v>
      </c>
      <c r="X236" s="127">
        <f t="shared" si="555"/>
        <v>1285755.9536132363</v>
      </c>
      <c r="Y236" s="127">
        <f t="shared" si="555"/>
        <v>1193916.2426408622</v>
      </c>
      <c r="Z236" s="127">
        <f t="shared" si="555"/>
        <v>1102076.5316684882</v>
      </c>
      <c r="AA236" s="127">
        <f t="shared" si="555"/>
        <v>1010236.8197237405</v>
      </c>
    </row>
    <row r="237" spans="1:27" hidden="1" x14ac:dyDescent="0.35"/>
    <row r="238" spans="1:27" hidden="1" x14ac:dyDescent="0.35">
      <c r="A238" t="s">
        <v>196</v>
      </c>
      <c r="B238" s="128" t="s">
        <v>158</v>
      </c>
    </row>
    <row r="239" spans="1:27" hidden="1" x14ac:dyDescent="0.35">
      <c r="B239" s="38" t="s">
        <v>66</v>
      </c>
      <c r="C239" s="57">
        <v>0</v>
      </c>
      <c r="D239" s="57">
        <v>1</v>
      </c>
      <c r="E239" s="57">
        <v>2</v>
      </c>
      <c r="F239" s="57">
        <v>3</v>
      </c>
      <c r="G239" s="57">
        <v>4</v>
      </c>
      <c r="H239" s="57">
        <v>5</v>
      </c>
      <c r="I239" s="57">
        <v>6</v>
      </c>
      <c r="J239" s="57">
        <v>7</v>
      </c>
      <c r="K239" s="57">
        <v>8</v>
      </c>
      <c r="L239" s="57">
        <v>9</v>
      </c>
      <c r="M239" s="57">
        <v>10</v>
      </c>
      <c r="N239" s="57">
        <v>11</v>
      </c>
      <c r="O239" s="57">
        <v>12</v>
      </c>
      <c r="P239" s="57">
        <v>13</v>
      </c>
      <c r="Q239" s="57">
        <v>14</v>
      </c>
      <c r="R239" s="57">
        <v>15</v>
      </c>
      <c r="S239" s="57">
        <v>16</v>
      </c>
      <c r="T239" s="57">
        <v>17</v>
      </c>
      <c r="U239" s="57">
        <v>18</v>
      </c>
      <c r="V239" s="57">
        <v>19</v>
      </c>
      <c r="W239" s="57">
        <v>20</v>
      </c>
      <c r="X239" s="57">
        <v>21</v>
      </c>
      <c r="Y239" s="57">
        <v>22</v>
      </c>
      <c r="Z239" s="57">
        <v>23</v>
      </c>
      <c r="AA239" s="57">
        <v>24</v>
      </c>
    </row>
    <row r="240" spans="1:27" hidden="1" x14ac:dyDescent="0.35">
      <c r="B240" s="3" t="s">
        <v>124</v>
      </c>
      <c r="C240" s="83">
        <f t="shared" ref="C240:AA240" si="556">C241</f>
        <v>0</v>
      </c>
      <c r="D240" s="83">
        <f t="shared" si="556"/>
        <v>0</v>
      </c>
      <c r="E240" s="83">
        <f t="shared" si="556"/>
        <v>0</v>
      </c>
      <c r="F240" s="83">
        <f t="shared" si="556"/>
        <v>0</v>
      </c>
      <c r="G240" s="83">
        <f t="shared" si="556"/>
        <v>0</v>
      </c>
      <c r="H240" s="83">
        <f t="shared" si="556"/>
        <v>371438</v>
      </c>
      <c r="I240" s="83">
        <f t="shared" si="556"/>
        <v>371438</v>
      </c>
      <c r="J240" s="83">
        <f t="shared" si="556"/>
        <v>371438</v>
      </c>
      <c r="K240" s="83">
        <f t="shared" si="556"/>
        <v>371438</v>
      </c>
      <c r="L240" s="83">
        <f t="shared" si="556"/>
        <v>371438</v>
      </c>
      <c r="M240" s="83">
        <f t="shared" si="556"/>
        <v>371438</v>
      </c>
      <c r="N240" s="83">
        <f t="shared" si="556"/>
        <v>371438</v>
      </c>
      <c r="O240" s="83">
        <f t="shared" si="556"/>
        <v>371438</v>
      </c>
      <c r="P240" s="83">
        <f t="shared" si="556"/>
        <v>492526</v>
      </c>
      <c r="Q240" s="83">
        <f t="shared" si="556"/>
        <v>371438</v>
      </c>
      <c r="R240" s="83">
        <f t="shared" si="556"/>
        <v>371438</v>
      </c>
      <c r="S240" s="83">
        <f t="shared" si="556"/>
        <v>371438</v>
      </c>
      <c r="T240" s="83">
        <f t="shared" si="556"/>
        <v>371438</v>
      </c>
      <c r="U240" s="83">
        <f t="shared" si="556"/>
        <v>371438</v>
      </c>
      <c r="V240" s="83">
        <f t="shared" si="556"/>
        <v>371438</v>
      </c>
      <c r="W240" s="83">
        <f t="shared" si="556"/>
        <v>371438</v>
      </c>
      <c r="X240" s="83">
        <f t="shared" si="556"/>
        <v>371438</v>
      </c>
      <c r="Y240" s="83">
        <f t="shared" si="556"/>
        <v>371438</v>
      </c>
      <c r="Z240" s="83">
        <f t="shared" si="556"/>
        <v>371438</v>
      </c>
      <c r="AA240" s="83">
        <f t="shared" si="556"/>
        <v>371438.05000000005</v>
      </c>
    </row>
    <row r="241" spans="2:27" hidden="1" x14ac:dyDescent="0.35">
      <c r="B241" s="69" t="s">
        <v>126</v>
      </c>
      <c r="C241" s="85">
        <f>C161</f>
        <v>0</v>
      </c>
      <c r="D241" s="85">
        <f t="shared" ref="D241:AA241" si="557">D$5</f>
        <v>0</v>
      </c>
      <c r="E241" s="85">
        <f t="shared" si="557"/>
        <v>0</v>
      </c>
      <c r="F241" s="85">
        <f t="shared" si="557"/>
        <v>0</v>
      </c>
      <c r="G241" s="85">
        <f t="shared" si="557"/>
        <v>0</v>
      </c>
      <c r="H241" s="85">
        <f t="shared" si="557"/>
        <v>371438</v>
      </c>
      <c r="I241" s="85">
        <f t="shared" si="557"/>
        <v>371438</v>
      </c>
      <c r="J241" s="85">
        <f t="shared" si="557"/>
        <v>371438</v>
      </c>
      <c r="K241" s="85">
        <f t="shared" si="557"/>
        <v>371438</v>
      </c>
      <c r="L241" s="85">
        <f t="shared" si="557"/>
        <v>371438</v>
      </c>
      <c r="M241" s="85">
        <f t="shared" si="557"/>
        <v>371438</v>
      </c>
      <c r="N241" s="85">
        <f t="shared" si="557"/>
        <v>371438</v>
      </c>
      <c r="O241" s="85">
        <f t="shared" si="557"/>
        <v>371438</v>
      </c>
      <c r="P241" s="85">
        <f t="shared" si="557"/>
        <v>492526</v>
      </c>
      <c r="Q241" s="85">
        <f t="shared" si="557"/>
        <v>371438</v>
      </c>
      <c r="R241" s="85">
        <f t="shared" si="557"/>
        <v>371438</v>
      </c>
      <c r="S241" s="85">
        <f t="shared" si="557"/>
        <v>371438</v>
      </c>
      <c r="T241" s="85">
        <f t="shared" si="557"/>
        <v>371438</v>
      </c>
      <c r="U241" s="85">
        <f t="shared" si="557"/>
        <v>371438</v>
      </c>
      <c r="V241" s="85">
        <f t="shared" si="557"/>
        <v>371438</v>
      </c>
      <c r="W241" s="85">
        <f t="shared" si="557"/>
        <v>371438</v>
      </c>
      <c r="X241" s="85">
        <f t="shared" si="557"/>
        <v>371438</v>
      </c>
      <c r="Y241" s="85">
        <f t="shared" si="557"/>
        <v>371438</v>
      </c>
      <c r="Z241" s="85">
        <f t="shared" si="557"/>
        <v>371438</v>
      </c>
      <c r="AA241" s="85">
        <f t="shared" si="557"/>
        <v>371438.05000000005</v>
      </c>
    </row>
    <row r="242" spans="2:27" hidden="1" x14ac:dyDescent="0.35">
      <c r="B242" s="3" t="s">
        <v>109</v>
      </c>
      <c r="C242" s="83">
        <f t="shared" ref="C242:AA242" si="558">C243+C244</f>
        <v>0</v>
      </c>
      <c r="D242" s="83">
        <f t="shared" si="558"/>
        <v>187500</v>
      </c>
      <c r="E242" s="83">
        <f t="shared" si="558"/>
        <v>434652.5</v>
      </c>
      <c r="F242" s="83">
        <f t="shared" si="558"/>
        <v>1509972.0966099999</v>
      </c>
      <c r="G242" s="83">
        <f t="shared" si="558"/>
        <v>4014064.7935640984</v>
      </c>
      <c r="H242" s="83">
        <f t="shared" si="558"/>
        <v>2847816.2078251997</v>
      </c>
      <c r="I242" s="83">
        <f t="shared" si="558"/>
        <v>2771141.8266784917</v>
      </c>
      <c r="J242" s="83">
        <f t="shared" si="558"/>
        <v>2694694.9254791681</v>
      </c>
      <c r="K242" s="83">
        <f t="shared" si="558"/>
        <v>2618478.9164264407</v>
      </c>
      <c r="L242" s="83">
        <f t="shared" si="558"/>
        <v>2542497.2629025076</v>
      </c>
      <c r="M242" s="83">
        <f t="shared" si="558"/>
        <v>2466753.4802403012</v>
      </c>
      <c r="N242" s="83">
        <f t="shared" si="558"/>
        <v>2391251.1365027474</v>
      </c>
      <c r="O242" s="83">
        <f t="shared" si="558"/>
        <v>2315993.8532737158</v>
      </c>
      <c r="P242" s="83">
        <f t="shared" si="558"/>
        <v>2964860.3721905053</v>
      </c>
      <c r="Q242" s="83">
        <f t="shared" si="558"/>
        <v>5105161.9939728081</v>
      </c>
      <c r="R242" s="83">
        <f t="shared" si="558"/>
        <v>2091729.4022341846</v>
      </c>
      <c r="S242" s="83">
        <f t="shared" si="558"/>
        <v>2017489.6756494672</v>
      </c>
      <c r="T242" s="83">
        <f t="shared" si="558"/>
        <v>1943513.9488305645</v>
      </c>
      <c r="U242" s="83">
        <f t="shared" si="558"/>
        <v>1869806.1817739638</v>
      </c>
      <c r="V242" s="83">
        <f t="shared" si="558"/>
        <v>1796370.3938761</v>
      </c>
      <c r="W242" s="83">
        <f t="shared" si="558"/>
        <v>1723210.6648243535</v>
      </c>
      <c r="X242" s="83">
        <f t="shared" si="558"/>
        <v>1650331.1355014166</v>
      </c>
      <c r="Y242" s="83">
        <f t="shared" si="558"/>
        <v>1577736.0089032212</v>
      </c>
      <c r="Z242" s="83">
        <f t="shared" si="558"/>
        <v>1505429.5510706385</v>
      </c>
      <c r="AA242" s="83">
        <f t="shared" si="558"/>
        <v>1433416.0910627791</v>
      </c>
    </row>
    <row r="243" spans="2:27" hidden="1" x14ac:dyDescent="0.35">
      <c r="B243" s="69" t="s">
        <v>146</v>
      </c>
      <c r="C243" s="85">
        <f t="shared" ref="C243:AA243" si="559">C273</f>
        <v>0</v>
      </c>
      <c r="D243" s="85">
        <f t="shared" si="559"/>
        <v>187500</v>
      </c>
      <c r="E243" s="85">
        <f t="shared" si="559"/>
        <v>434652.5</v>
      </c>
      <c r="F243" s="85">
        <f t="shared" si="559"/>
        <v>876876.58125000005</v>
      </c>
      <c r="G243" s="85">
        <f t="shared" si="559"/>
        <v>1443697.0012025</v>
      </c>
      <c r="H243" s="85">
        <f t="shared" si="559"/>
        <v>1836794.219447481</v>
      </c>
      <c r="I243" s="85">
        <f t="shared" si="559"/>
        <v>1744954.5084751071</v>
      </c>
      <c r="J243" s="85">
        <f t="shared" si="559"/>
        <v>1653114.7975027328</v>
      </c>
      <c r="K243" s="85">
        <f t="shared" si="559"/>
        <v>1561275.0865303588</v>
      </c>
      <c r="L243" s="85">
        <f t="shared" si="559"/>
        <v>1469435.3755579847</v>
      </c>
      <c r="M243" s="85">
        <f t="shared" si="559"/>
        <v>1377595.6645856106</v>
      </c>
      <c r="N243" s="85">
        <f t="shared" si="559"/>
        <v>1285755.9536132365</v>
      </c>
      <c r="O243" s="85">
        <f t="shared" si="559"/>
        <v>1193916.2426408622</v>
      </c>
      <c r="P243" s="85">
        <f t="shared" si="559"/>
        <v>1102076.5316684882</v>
      </c>
      <c r="Q243" s="85">
        <f t="shared" si="559"/>
        <v>1010236.8206961141</v>
      </c>
      <c r="R243" s="85">
        <f t="shared" si="559"/>
        <v>918397.10972373991</v>
      </c>
      <c r="S243" s="85">
        <f t="shared" si="559"/>
        <v>826557.39875136595</v>
      </c>
      <c r="T243" s="85">
        <f t="shared" si="559"/>
        <v>734717.68777899188</v>
      </c>
      <c r="U243" s="85">
        <f t="shared" si="559"/>
        <v>642877.97680661781</v>
      </c>
      <c r="V243" s="85">
        <f t="shared" si="559"/>
        <v>551038.26583424385</v>
      </c>
      <c r="W243" s="85">
        <f t="shared" si="559"/>
        <v>459198.55486186978</v>
      </c>
      <c r="X243" s="85">
        <f t="shared" si="559"/>
        <v>367358.84388949577</v>
      </c>
      <c r="Y243" s="85">
        <f t="shared" si="559"/>
        <v>275519.13291712169</v>
      </c>
      <c r="Z243" s="85">
        <f t="shared" si="559"/>
        <v>183679.42194474768</v>
      </c>
      <c r="AA243" s="85">
        <f t="shared" si="559"/>
        <v>91839.71</v>
      </c>
    </row>
    <row r="244" spans="2:27" hidden="1" x14ac:dyDescent="0.35">
      <c r="B244" s="69" t="s">
        <v>163</v>
      </c>
      <c r="C244" s="85">
        <f t="shared" ref="C244:AA244" si="560">SUM(C245:C247)</f>
        <v>0</v>
      </c>
      <c r="D244" s="85">
        <f t="shared" si="560"/>
        <v>0</v>
      </c>
      <c r="E244" s="85">
        <f t="shared" si="560"/>
        <v>0</v>
      </c>
      <c r="F244" s="85">
        <f t="shared" si="560"/>
        <v>633095.51535999984</v>
      </c>
      <c r="G244" s="85">
        <f t="shared" si="560"/>
        <v>2570367.7923615985</v>
      </c>
      <c r="H244" s="85">
        <f t="shared" si="560"/>
        <v>1011021.988377719</v>
      </c>
      <c r="I244" s="85">
        <f t="shared" si="560"/>
        <v>1026187.3182033846</v>
      </c>
      <c r="J244" s="85">
        <f t="shared" si="560"/>
        <v>1041580.1279764354</v>
      </c>
      <c r="K244" s="85">
        <f t="shared" si="560"/>
        <v>1057203.8298960817</v>
      </c>
      <c r="L244" s="85">
        <f t="shared" si="560"/>
        <v>1073061.8873445229</v>
      </c>
      <c r="M244" s="85">
        <f t="shared" si="560"/>
        <v>1089157.8156546906</v>
      </c>
      <c r="N244" s="85">
        <f t="shared" si="560"/>
        <v>1105495.1828895109</v>
      </c>
      <c r="O244" s="85">
        <f t="shared" si="560"/>
        <v>1122077.6106328536</v>
      </c>
      <c r="P244" s="85">
        <f t="shared" si="560"/>
        <v>1862783.8405220169</v>
      </c>
      <c r="Q244" s="85">
        <f t="shared" si="560"/>
        <v>4094925.173276694</v>
      </c>
      <c r="R244" s="85">
        <f t="shared" si="560"/>
        <v>1173332.2925104445</v>
      </c>
      <c r="S244" s="85">
        <f t="shared" si="560"/>
        <v>1190932.2768981012</v>
      </c>
      <c r="T244" s="85">
        <f t="shared" si="560"/>
        <v>1208796.2610515726</v>
      </c>
      <c r="U244" s="85">
        <f t="shared" si="560"/>
        <v>1226928.204967346</v>
      </c>
      <c r="V244" s="85">
        <f t="shared" si="560"/>
        <v>1245332.128041856</v>
      </c>
      <c r="W244" s="85">
        <f t="shared" si="560"/>
        <v>1264012.1099624839</v>
      </c>
      <c r="X244" s="85">
        <f t="shared" si="560"/>
        <v>1282972.2916119208</v>
      </c>
      <c r="Y244" s="85">
        <f t="shared" si="560"/>
        <v>1302216.8759860995</v>
      </c>
      <c r="Z244" s="85">
        <f t="shared" si="560"/>
        <v>1321750.1291258908</v>
      </c>
      <c r="AA244" s="85">
        <f t="shared" si="560"/>
        <v>1341576.3810627791</v>
      </c>
    </row>
    <row r="245" spans="2:27" hidden="1" x14ac:dyDescent="0.35">
      <c r="B245" s="129" t="s">
        <v>108</v>
      </c>
      <c r="C245" s="85">
        <f t="shared" ref="C245:AA245" si="561">C9</f>
        <v>0</v>
      </c>
      <c r="D245" s="85">
        <f t="shared" si="561"/>
        <v>0</v>
      </c>
      <c r="E245" s="85">
        <f t="shared" si="561"/>
        <v>0</v>
      </c>
      <c r="F245" s="85">
        <f t="shared" si="561"/>
        <v>0</v>
      </c>
      <c r="G245" s="85">
        <f t="shared" si="561"/>
        <v>0</v>
      </c>
      <c r="H245" s="85">
        <f t="shared" si="561"/>
        <v>92624.878653978507</v>
      </c>
      <c r="I245" s="85">
        <f t="shared" si="561"/>
        <v>94014.251833788163</v>
      </c>
      <c r="J245" s="85">
        <f t="shared" si="561"/>
        <v>95424.465611294974</v>
      </c>
      <c r="K245" s="85">
        <f t="shared" si="561"/>
        <v>96855.832595464381</v>
      </c>
      <c r="L245" s="85">
        <f t="shared" si="561"/>
        <v>98308.670084396334</v>
      </c>
      <c r="M245" s="85">
        <f t="shared" si="561"/>
        <v>99783.30013566227</v>
      </c>
      <c r="N245" s="85">
        <f t="shared" si="561"/>
        <v>101280.0496376972</v>
      </c>
      <c r="O245" s="85">
        <f t="shared" si="561"/>
        <v>102799.25038226263</v>
      </c>
      <c r="P245" s="85">
        <f t="shared" si="561"/>
        <v>104341.23913799657</v>
      </c>
      <c r="Q245" s="85">
        <f t="shared" si="561"/>
        <v>105906.35772506648</v>
      </c>
      <c r="R245" s="85">
        <f t="shared" si="561"/>
        <v>107494.95309094246</v>
      </c>
      <c r="S245" s="85">
        <f t="shared" si="561"/>
        <v>109107.37738730659</v>
      </c>
      <c r="T245" s="85">
        <f t="shared" si="561"/>
        <v>110743.98804811617</v>
      </c>
      <c r="U245" s="85">
        <f t="shared" si="561"/>
        <v>112405.14786883791</v>
      </c>
      <c r="V245" s="85">
        <f t="shared" si="561"/>
        <v>114091.22508687047</v>
      </c>
      <c r="W245" s="85">
        <f t="shared" si="561"/>
        <v>115802.59346317349</v>
      </c>
      <c r="X245" s="85">
        <f t="shared" si="561"/>
        <v>117539.63236512108</v>
      </c>
      <c r="Y245" s="85">
        <f t="shared" si="561"/>
        <v>119302.72685059787</v>
      </c>
      <c r="Z245" s="85">
        <f t="shared" si="561"/>
        <v>121092.26775335683</v>
      </c>
      <c r="AA245" s="85">
        <f t="shared" si="561"/>
        <v>122908.65176965717</v>
      </c>
    </row>
    <row r="246" spans="2:27" hidden="1" x14ac:dyDescent="0.35">
      <c r="B246" s="129" t="s">
        <v>110</v>
      </c>
      <c r="C246" s="85">
        <f t="shared" ref="C246:G246" si="562">C10</f>
        <v>0</v>
      </c>
      <c r="D246" s="85">
        <f t="shared" si="562"/>
        <v>0</v>
      </c>
      <c r="E246" s="85">
        <f t="shared" si="562"/>
        <v>0</v>
      </c>
      <c r="F246" s="85">
        <f t="shared" si="562"/>
        <v>0</v>
      </c>
      <c r="G246" s="85">
        <f t="shared" si="562"/>
        <v>0</v>
      </c>
      <c r="H246" s="85">
        <f>SUM(C253:G253)*0.05</f>
        <v>918397.10972374049</v>
      </c>
      <c r="I246" s="85">
        <f>H246*(1+'Sensitivity 2'!$D$5)</f>
        <v>932173.06636959652</v>
      </c>
      <c r="J246" s="85">
        <f>I246*(1+'Sensitivity 2'!$D$5)</f>
        <v>946155.66236514039</v>
      </c>
      <c r="K246" s="85">
        <f>J246*(1+'Sensitivity 2'!$D$5)</f>
        <v>960347.9973006174</v>
      </c>
      <c r="L246" s="85">
        <f>K246*(1+'Sensitivity 2'!$D$5)</f>
        <v>974753.21726012661</v>
      </c>
      <c r="M246" s="85">
        <f>L246*(1+'Sensitivity 2'!$D$5)</f>
        <v>989374.51551902841</v>
      </c>
      <c r="N246" s="85">
        <f>M246*(1+'Sensitivity 2'!$D$5)</f>
        <v>1004215.1332518137</v>
      </c>
      <c r="O246" s="85">
        <f>N246*(1+'Sensitivity 2'!$D$5)</f>
        <v>1019278.3602505908</v>
      </c>
      <c r="P246" s="85">
        <f>O246*(1+'Sensitivity 2'!$D$5)</f>
        <v>1034567.5356543496</v>
      </c>
      <c r="Q246" s="85">
        <f>P246*(1+'Sensitivity 2'!$D$5)</f>
        <v>1050086.0486891647</v>
      </c>
      <c r="R246" s="85">
        <f>Q246*(1+'Sensitivity 2'!$D$5)</f>
        <v>1065837.3394195021</v>
      </c>
      <c r="S246" s="85">
        <f>R246*(1+'Sensitivity 2'!$D$5)</f>
        <v>1081824.8995107946</v>
      </c>
      <c r="T246" s="85">
        <f>S246*(1+'Sensitivity 2'!$D$5)</f>
        <v>1098052.2730034564</v>
      </c>
      <c r="U246" s="85">
        <f>T246*(1+'Sensitivity 2'!$D$5)</f>
        <v>1114523.0570985081</v>
      </c>
      <c r="V246" s="85">
        <f>U246*(1+'Sensitivity 2'!$D$5)</f>
        <v>1131240.9029549856</v>
      </c>
      <c r="W246" s="85">
        <f>V246*(1+'Sensitivity 2'!$D$5)</f>
        <v>1148209.5164993103</v>
      </c>
      <c r="X246" s="85">
        <f>W246*(1+'Sensitivity 2'!$D$5)</f>
        <v>1165432.6592467998</v>
      </c>
      <c r="Y246" s="85">
        <f>X246*(1+'Sensitivity 2'!$D$5)</f>
        <v>1182914.1491355016</v>
      </c>
      <c r="Z246" s="85">
        <f>Y246*(1+'Sensitivity 2'!$D$5)</f>
        <v>1200657.861372534</v>
      </c>
      <c r="AA246" s="85">
        <f>Z246*(1+'Sensitivity 2'!$D$5)</f>
        <v>1218667.729293122</v>
      </c>
    </row>
    <row r="247" spans="2:27" hidden="1" collapsed="1" x14ac:dyDescent="0.35">
      <c r="B247" s="129" t="s">
        <v>125</v>
      </c>
      <c r="C247" s="85">
        <f t="shared" ref="C247:Z247" si="563">+SUM(C248:C252)</f>
        <v>0</v>
      </c>
      <c r="D247" s="85">
        <f t="shared" si="563"/>
        <v>0</v>
      </c>
      <c r="E247" s="85">
        <f t="shared" si="563"/>
        <v>0</v>
      </c>
      <c r="F247" s="85">
        <f t="shared" si="563"/>
        <v>633095.51535999984</v>
      </c>
      <c r="G247" s="85">
        <f t="shared" si="563"/>
        <v>2570367.7923615985</v>
      </c>
      <c r="H247" s="85">
        <f t="shared" si="563"/>
        <v>0</v>
      </c>
      <c r="I247" s="85">
        <f t="shared" si="563"/>
        <v>0</v>
      </c>
      <c r="J247" s="85">
        <f t="shared" si="563"/>
        <v>0</v>
      </c>
      <c r="K247" s="85">
        <f t="shared" si="563"/>
        <v>0</v>
      </c>
      <c r="L247" s="85">
        <f t="shared" si="563"/>
        <v>0</v>
      </c>
      <c r="M247" s="85">
        <f t="shared" si="563"/>
        <v>0</v>
      </c>
      <c r="N247" s="85">
        <f t="shared" si="563"/>
        <v>0</v>
      </c>
      <c r="O247" s="85">
        <f t="shared" si="563"/>
        <v>0</v>
      </c>
      <c r="P247" s="85">
        <f t="shared" si="563"/>
        <v>723875.06572967069</v>
      </c>
      <c r="Q247" s="85">
        <f t="shared" si="563"/>
        <v>2938932.7668624627</v>
      </c>
      <c r="R247" s="85">
        <f t="shared" si="563"/>
        <v>0</v>
      </c>
      <c r="S247" s="85">
        <f t="shared" si="563"/>
        <v>0</v>
      </c>
      <c r="T247" s="85">
        <f t="shared" si="563"/>
        <v>0</v>
      </c>
      <c r="U247" s="85">
        <f t="shared" si="563"/>
        <v>0</v>
      </c>
      <c r="V247" s="85">
        <f t="shared" si="563"/>
        <v>0</v>
      </c>
      <c r="W247" s="85">
        <f t="shared" si="563"/>
        <v>0</v>
      </c>
      <c r="X247" s="85">
        <f t="shared" si="563"/>
        <v>0</v>
      </c>
      <c r="Y247" s="85">
        <f t="shared" si="563"/>
        <v>0</v>
      </c>
      <c r="Z247" s="85">
        <f t="shared" si="563"/>
        <v>0</v>
      </c>
      <c r="AA247" s="85">
        <f t="shared" ref="AA247" si="564">+SUM(AA248:AA252)</f>
        <v>0</v>
      </c>
    </row>
    <row r="248" spans="2:27" hidden="1" outlineLevel="1" x14ac:dyDescent="0.35">
      <c r="B248" s="133" t="s">
        <v>27</v>
      </c>
      <c r="C248" s="85">
        <f t="shared" ref="C248:AA248" si="565">C12</f>
        <v>0</v>
      </c>
      <c r="D248" s="85">
        <f t="shared" si="565"/>
        <v>0</v>
      </c>
      <c r="E248" s="85">
        <f t="shared" si="565"/>
        <v>0</v>
      </c>
      <c r="F248" s="85">
        <f>+'Project Assumptions'!$D36*'Sensitivity 2'!$J$6/'Sensitivity 2'!$D$6*'Project Assumptions'!$E36*'Project Assumptions'!J36*(1+'Sensitivity 2'!$D$5)^'Government Impact_baseline'!F$3*'Sensitivity 2'!$D$13</f>
        <v>122302.54273999996</v>
      </c>
      <c r="G248" s="85">
        <f>+'Project Assumptions'!$D36*'Sensitivity 2'!$J$6/'Sensitivity 2'!$D$6*'Project Assumptions'!$E36*'Project Assumptions'!K36*(1+'Sensitivity 2'!$D$5)^'Government Impact_baseline'!G$3*'Sensitivity 2'!$D$13</f>
        <v>496548.32352439972</v>
      </c>
      <c r="H248" s="85">
        <f t="shared" si="565"/>
        <v>0</v>
      </c>
      <c r="I248" s="85">
        <f t="shared" si="565"/>
        <v>0</v>
      </c>
      <c r="J248" s="85">
        <f t="shared" si="565"/>
        <v>0</v>
      </c>
      <c r="K248" s="85">
        <f t="shared" si="565"/>
        <v>0</v>
      </c>
      <c r="L248" s="85">
        <f t="shared" si="565"/>
        <v>0</v>
      </c>
      <c r="M248" s="85">
        <f t="shared" si="565"/>
        <v>0</v>
      </c>
      <c r="N248" s="85">
        <f t="shared" si="565"/>
        <v>0</v>
      </c>
      <c r="O248" s="85">
        <f t="shared" si="565"/>
        <v>0</v>
      </c>
      <c r="P248" s="85">
        <f>+'Project Assumptions'!$D36/'Sensitivity 2'!$D$6*'Sensitivity 2'!$J$6*'Project Assumptions'!$E36*'Project Assumptions'!M36*(1+'Sensitivity 2'!$D$5)^'Government Impact_baseline'!O$3*'Sensitivity 2'!$D$13</f>
        <v>139839.50133414092</v>
      </c>
      <c r="Q248" s="85">
        <f>+'Project Assumptions'!$D36/'Sensitivity 2'!$D$6*'Sensitivity 2'!$J$6*'Project Assumptions'!$E36*'Project Assumptions'!N36*(1+'Sensitivity 2'!$D$5)^'Government Impact_baseline'!P$3*'Sensitivity 2'!$D$13</f>
        <v>567748.37541661214</v>
      </c>
      <c r="R248" s="85">
        <f t="shared" si="565"/>
        <v>0</v>
      </c>
      <c r="S248" s="85">
        <f t="shared" si="565"/>
        <v>0</v>
      </c>
      <c r="T248" s="85">
        <f t="shared" si="565"/>
        <v>0</v>
      </c>
      <c r="U248" s="85">
        <f t="shared" si="565"/>
        <v>0</v>
      </c>
      <c r="V248" s="85">
        <f t="shared" si="565"/>
        <v>0</v>
      </c>
      <c r="W248" s="85">
        <f t="shared" si="565"/>
        <v>0</v>
      </c>
      <c r="X248" s="85">
        <f t="shared" si="565"/>
        <v>0</v>
      </c>
      <c r="Y248" s="85">
        <f t="shared" si="565"/>
        <v>0</v>
      </c>
      <c r="Z248" s="85">
        <f t="shared" si="565"/>
        <v>0</v>
      </c>
      <c r="AA248" s="85">
        <f t="shared" si="565"/>
        <v>0</v>
      </c>
    </row>
    <row r="249" spans="2:27" hidden="1" outlineLevel="1" x14ac:dyDescent="0.35">
      <c r="B249" s="133" t="s">
        <v>42</v>
      </c>
      <c r="C249" s="85">
        <f t="shared" ref="C249:AA249" si="566">C13</f>
        <v>0</v>
      </c>
      <c r="D249" s="85">
        <f t="shared" si="566"/>
        <v>0</v>
      </c>
      <c r="E249" s="85">
        <f t="shared" si="566"/>
        <v>0</v>
      </c>
      <c r="F249" s="85">
        <f>+'Project Assumptions'!$D37*'Sensitivity 2'!$J$6/'Sensitivity 2'!$D$6*'Project Assumptions'!$E37*'Project Assumptions'!J37*(1+'Sensitivity 2'!$D$5)^'Government Impact_baseline'!F$3*'Sensitivity 2'!$D$13</f>
        <v>68345.538589999967</v>
      </c>
      <c r="G249" s="85">
        <f>+'Project Assumptions'!$D37*'Sensitivity 2'!$J$6/'Sensitivity 2'!$D$6*'Project Assumptions'!$E37*'Project Assumptions'!K37*(1+'Sensitivity 2'!$D$5)^'Government Impact_baseline'!G$3*'Sensitivity 2'!$D$13</f>
        <v>277482.88667539984</v>
      </c>
      <c r="H249" s="85">
        <f t="shared" si="566"/>
        <v>0</v>
      </c>
      <c r="I249" s="85">
        <f t="shared" si="566"/>
        <v>0</v>
      </c>
      <c r="J249" s="85">
        <f t="shared" si="566"/>
        <v>0</v>
      </c>
      <c r="K249" s="85">
        <f t="shared" si="566"/>
        <v>0</v>
      </c>
      <c r="L249" s="85">
        <f t="shared" si="566"/>
        <v>0</v>
      </c>
      <c r="M249" s="85">
        <f t="shared" si="566"/>
        <v>0</v>
      </c>
      <c r="N249" s="85">
        <f t="shared" si="566"/>
        <v>0</v>
      </c>
      <c r="O249" s="85">
        <f t="shared" si="566"/>
        <v>0</v>
      </c>
      <c r="P249" s="85">
        <f>+'Project Assumptions'!$D37/'Sensitivity 2'!$D$6*'Sensitivity 2'!$J$6*'Project Assumptions'!$E37*'Project Assumptions'!M37*(1+'Sensitivity 2'!$D$5)^'Government Impact_baseline'!O$3*'Sensitivity 2'!$D$13</f>
        <v>78145.603686725808</v>
      </c>
      <c r="Q249" s="85">
        <f>+'Project Assumptions'!$D37/'Sensitivity 2'!$D$6*'Sensitivity 2'!$J$6*'Project Assumptions'!$E37*'Project Assumptions'!N37*(1+'Sensitivity 2'!$D$5)^'Government Impact_baseline'!P$3*'Sensitivity 2'!$D$13</f>
        <v>317271.15096810681</v>
      </c>
      <c r="R249" s="85">
        <f t="shared" si="566"/>
        <v>0</v>
      </c>
      <c r="S249" s="85">
        <f t="shared" si="566"/>
        <v>0</v>
      </c>
      <c r="T249" s="85">
        <f t="shared" si="566"/>
        <v>0</v>
      </c>
      <c r="U249" s="85">
        <f t="shared" si="566"/>
        <v>0</v>
      </c>
      <c r="V249" s="85">
        <f t="shared" si="566"/>
        <v>0</v>
      </c>
      <c r="W249" s="85">
        <f t="shared" si="566"/>
        <v>0</v>
      </c>
      <c r="X249" s="85">
        <f t="shared" si="566"/>
        <v>0</v>
      </c>
      <c r="Y249" s="85">
        <f t="shared" si="566"/>
        <v>0</v>
      </c>
      <c r="Z249" s="85">
        <f t="shared" si="566"/>
        <v>0</v>
      </c>
      <c r="AA249" s="85">
        <f t="shared" si="566"/>
        <v>0</v>
      </c>
    </row>
    <row r="250" spans="2:27" hidden="1" outlineLevel="1" x14ac:dyDescent="0.35">
      <c r="B250" s="133" t="s">
        <v>150</v>
      </c>
      <c r="C250" s="85">
        <f t="shared" ref="C250:AA250" si="567">C14</f>
        <v>0</v>
      </c>
      <c r="D250" s="85">
        <f t="shared" si="567"/>
        <v>0</v>
      </c>
      <c r="E250" s="85">
        <f t="shared" si="567"/>
        <v>0</v>
      </c>
      <c r="F250" s="85">
        <f>+'Project Assumptions'!$D38*'Sensitivity 2'!$J$6/'Sensitivity 2'!$D$6*'Project Assumptions'!$E38*'Project Assumptions'!J38*(1+'Sensitivity 2'!$D$5)^'Government Impact_baseline'!F$3*'Sensitivity 2'!$D$13</f>
        <v>93525.473859999969</v>
      </c>
      <c r="G250" s="85">
        <f>+'Project Assumptions'!$D38*'Sensitivity 2'!$J$6/'Sensitivity 2'!$D$6*'Project Assumptions'!$E38*'Project Assumptions'!K38*(1+'Sensitivity 2'!$D$5)^'Government Impact_baseline'!G$3*'Sensitivity 2'!$D$13</f>
        <v>379713.42387159978</v>
      </c>
      <c r="H250" s="85">
        <f t="shared" si="567"/>
        <v>0</v>
      </c>
      <c r="I250" s="85">
        <f t="shared" si="567"/>
        <v>0</v>
      </c>
      <c r="J250" s="85">
        <f t="shared" si="567"/>
        <v>0</v>
      </c>
      <c r="K250" s="85">
        <f t="shared" si="567"/>
        <v>0</v>
      </c>
      <c r="L250" s="85">
        <f t="shared" si="567"/>
        <v>0</v>
      </c>
      <c r="M250" s="85">
        <f t="shared" si="567"/>
        <v>0</v>
      </c>
      <c r="N250" s="85">
        <f t="shared" si="567"/>
        <v>0</v>
      </c>
      <c r="O250" s="85">
        <f t="shared" si="567"/>
        <v>0</v>
      </c>
      <c r="P250" s="85">
        <f>+'Project Assumptions'!$D38/'Sensitivity 2'!$D$6*'Sensitivity 2'!$J$6*'Project Assumptions'!$E38*'Project Assumptions'!M38*(1+'Sensitivity 2'!$D$5)^'Government Impact_baseline'!O$3*'Sensitivity 2'!$D$13</f>
        <v>106936.08925551953</v>
      </c>
      <c r="Q250" s="85">
        <f>+'Project Assumptions'!$D38/'Sensitivity 2'!$D$6*'Sensitivity 2'!$J$6*'Project Assumptions'!$E38*'Project Assumptions'!N38*(1+'Sensitivity 2'!$D$5)^'Government Impact_baseline'!P$3*'Sensitivity 2'!$D$13</f>
        <v>434160.52237740927</v>
      </c>
      <c r="R250" s="85">
        <f t="shared" si="567"/>
        <v>0</v>
      </c>
      <c r="S250" s="85">
        <f t="shared" si="567"/>
        <v>0</v>
      </c>
      <c r="T250" s="85">
        <f t="shared" si="567"/>
        <v>0</v>
      </c>
      <c r="U250" s="85">
        <f t="shared" si="567"/>
        <v>0</v>
      </c>
      <c r="V250" s="85">
        <f t="shared" si="567"/>
        <v>0</v>
      </c>
      <c r="W250" s="85">
        <f t="shared" si="567"/>
        <v>0</v>
      </c>
      <c r="X250" s="85">
        <f t="shared" si="567"/>
        <v>0</v>
      </c>
      <c r="Y250" s="85">
        <f t="shared" si="567"/>
        <v>0</v>
      </c>
      <c r="Z250" s="85">
        <f t="shared" si="567"/>
        <v>0</v>
      </c>
      <c r="AA250" s="85">
        <f t="shared" si="567"/>
        <v>0</v>
      </c>
    </row>
    <row r="251" spans="2:27" hidden="1" outlineLevel="1" x14ac:dyDescent="0.35">
      <c r="B251" s="133" t="s">
        <v>43</v>
      </c>
      <c r="C251" s="85">
        <f t="shared" ref="C251:AA251" si="568">C15</f>
        <v>0</v>
      </c>
      <c r="D251" s="85">
        <f t="shared" si="568"/>
        <v>0</v>
      </c>
      <c r="E251" s="85">
        <f t="shared" si="568"/>
        <v>0</v>
      </c>
      <c r="F251" s="85">
        <f>+'Project Assumptions'!$D39*'Sensitivity 2'!$J$6/'Sensitivity 2'!$D$6*'Project Assumptions'!$E39*'Project Assumptions'!J39*(1+'Sensitivity 2'!$D$5)^'Government Impact_baseline'!F$3*'Sensitivity 2'!$D$13</f>
        <v>46762.736929999985</v>
      </c>
      <c r="G251" s="85">
        <f>+'Project Assumptions'!$D39*'Sensitivity 2'!$J$6/'Sensitivity 2'!$D$6*'Project Assumptions'!$E39*'Project Assumptions'!K39*(1+'Sensitivity 2'!$D$5)^'Government Impact_baseline'!G$3*'Sensitivity 2'!$D$13</f>
        <v>189856.71193579989</v>
      </c>
      <c r="H251" s="85">
        <f t="shared" si="568"/>
        <v>0</v>
      </c>
      <c r="I251" s="85">
        <f t="shared" si="568"/>
        <v>0</v>
      </c>
      <c r="J251" s="85">
        <f t="shared" si="568"/>
        <v>0</v>
      </c>
      <c r="K251" s="85">
        <f t="shared" si="568"/>
        <v>0</v>
      </c>
      <c r="L251" s="85">
        <f t="shared" si="568"/>
        <v>0</v>
      </c>
      <c r="M251" s="85">
        <f t="shared" si="568"/>
        <v>0</v>
      </c>
      <c r="N251" s="85">
        <f t="shared" si="568"/>
        <v>0</v>
      </c>
      <c r="O251" s="85">
        <f t="shared" si="568"/>
        <v>0</v>
      </c>
      <c r="P251" s="85">
        <f>+'Project Assumptions'!$D39/'Sensitivity 2'!$D$6*'Sensitivity 2'!$J$6*'Project Assumptions'!$E39*'Project Assumptions'!M39*(1+'Sensitivity 2'!$D$5)^'Government Impact_baseline'!O$3*'Sensitivity 2'!$D$13</f>
        <v>53468.044627759766</v>
      </c>
      <c r="Q251" s="85">
        <f>+'Project Assumptions'!$D39/'Sensitivity 2'!$D$6*'Sensitivity 2'!$J$6*'Project Assumptions'!$E39*'Project Assumptions'!N39*(1+'Sensitivity 2'!$D$5)^'Government Impact_baseline'!P$3*'Sensitivity 2'!$D$13</f>
        <v>217080.26118870464</v>
      </c>
      <c r="R251" s="85">
        <f t="shared" si="568"/>
        <v>0</v>
      </c>
      <c r="S251" s="85">
        <f t="shared" si="568"/>
        <v>0</v>
      </c>
      <c r="T251" s="85">
        <f t="shared" si="568"/>
        <v>0</v>
      </c>
      <c r="U251" s="85">
        <f t="shared" si="568"/>
        <v>0</v>
      </c>
      <c r="V251" s="85">
        <f t="shared" si="568"/>
        <v>0</v>
      </c>
      <c r="W251" s="85">
        <f t="shared" si="568"/>
        <v>0</v>
      </c>
      <c r="X251" s="85">
        <f t="shared" si="568"/>
        <v>0</v>
      </c>
      <c r="Y251" s="85">
        <f t="shared" si="568"/>
        <v>0</v>
      </c>
      <c r="Z251" s="85">
        <f t="shared" si="568"/>
        <v>0</v>
      </c>
      <c r="AA251" s="85">
        <f t="shared" si="568"/>
        <v>0</v>
      </c>
    </row>
    <row r="252" spans="2:27" hidden="1" outlineLevel="1" x14ac:dyDescent="0.35">
      <c r="B252" s="133" t="s">
        <v>44</v>
      </c>
      <c r="C252" s="85">
        <f t="shared" ref="C252:AA252" si="569">C16</f>
        <v>0</v>
      </c>
      <c r="D252" s="85">
        <f t="shared" si="569"/>
        <v>0</v>
      </c>
      <c r="E252" s="85">
        <f t="shared" si="569"/>
        <v>0</v>
      </c>
      <c r="F252" s="85">
        <f>+'Project Assumptions'!$D40*'Sensitivity 2'!$J$6/'Sensitivity 2'!$D$6*'Project Assumptions'!$E40*'Project Assumptions'!J40*(1+'Sensitivity 2'!$D$5)^'Government Impact_baseline'!F$3*'Sensitivity 2'!$D$13</f>
        <v>302159.2232399999</v>
      </c>
      <c r="G252" s="85">
        <f>+'Project Assumptions'!$D40*'Sensitivity 2'!$J$6/'Sensitivity 2'!$D$6*'Project Assumptions'!$E40*'Project Assumptions'!K40*(1+'Sensitivity 2'!$D$5)^'Government Impact_baseline'!G$3*'Sensitivity 2'!$D$13</f>
        <v>1226766.4463543994</v>
      </c>
      <c r="H252" s="85">
        <f t="shared" si="569"/>
        <v>0</v>
      </c>
      <c r="I252" s="85">
        <f t="shared" si="569"/>
        <v>0</v>
      </c>
      <c r="J252" s="85">
        <f t="shared" si="569"/>
        <v>0</v>
      </c>
      <c r="K252" s="85">
        <f t="shared" si="569"/>
        <v>0</v>
      </c>
      <c r="L252" s="85">
        <f t="shared" si="569"/>
        <v>0</v>
      </c>
      <c r="M252" s="85">
        <f t="shared" si="569"/>
        <v>0</v>
      </c>
      <c r="N252" s="85">
        <f t="shared" si="569"/>
        <v>0</v>
      </c>
      <c r="O252" s="85">
        <f t="shared" si="569"/>
        <v>0</v>
      </c>
      <c r="P252" s="85">
        <f>+'Project Assumptions'!$D40/'Sensitivity 2'!$D$6*'Sensitivity 2'!$J$6*'Project Assumptions'!$E40*'Project Assumptions'!M40*(1+'Sensitivity 2'!$D$5)^'Government Impact_baseline'!O$3*'Sensitivity 2'!$D$13</f>
        <v>345485.82682552468</v>
      </c>
      <c r="Q252" s="85">
        <f>+'Project Assumptions'!$D40/'Sensitivity 2'!$D$6*'Sensitivity 2'!$J$6*'Project Assumptions'!$E40*'Project Assumptions'!N40*(1+'Sensitivity 2'!$D$5)^'Government Impact_baseline'!P$3*'Sensitivity 2'!$D$13</f>
        <v>1402672.45691163</v>
      </c>
      <c r="R252" s="85">
        <f t="shared" si="569"/>
        <v>0</v>
      </c>
      <c r="S252" s="85">
        <f t="shared" si="569"/>
        <v>0</v>
      </c>
      <c r="T252" s="85">
        <f t="shared" si="569"/>
        <v>0</v>
      </c>
      <c r="U252" s="85">
        <f t="shared" si="569"/>
        <v>0</v>
      </c>
      <c r="V252" s="85">
        <f t="shared" si="569"/>
        <v>0</v>
      </c>
      <c r="W252" s="85">
        <f t="shared" si="569"/>
        <v>0</v>
      </c>
      <c r="X252" s="85">
        <f t="shared" si="569"/>
        <v>0</v>
      </c>
      <c r="Y252" s="85">
        <f t="shared" si="569"/>
        <v>0</v>
      </c>
      <c r="Z252" s="85">
        <f t="shared" si="569"/>
        <v>0</v>
      </c>
      <c r="AA252" s="85">
        <f t="shared" si="569"/>
        <v>0</v>
      </c>
    </row>
    <row r="253" spans="2:27" hidden="1" x14ac:dyDescent="0.35">
      <c r="B253" s="3" t="s">
        <v>122</v>
      </c>
      <c r="C253" s="83">
        <f t="shared" ref="C253:E253" si="570">C254+C255</f>
        <v>1875000</v>
      </c>
      <c r="D253" s="83">
        <f t="shared" si="570"/>
        <v>2471524.9999999995</v>
      </c>
      <c r="E253" s="83">
        <f t="shared" si="570"/>
        <v>4422240.8124999991</v>
      </c>
      <c r="F253" s="83">
        <f t="shared" ref="F253" si="571">F254+F255</f>
        <v>5668204.1995249977</v>
      </c>
      <c r="G253" s="83">
        <f t="shared" ref="G253" si="572">G254+G255</f>
        <v>3930972.1824498107</v>
      </c>
      <c r="H253" s="83">
        <f t="shared" ref="H253" si="573">H254+H255</f>
        <v>0</v>
      </c>
      <c r="I253" s="83">
        <f t="shared" ref="I253" si="574">I254+I255</f>
        <v>0</v>
      </c>
      <c r="J253" s="83">
        <f t="shared" ref="J253" si="575">J254+J255</f>
        <v>0</v>
      </c>
      <c r="K253" s="83">
        <f t="shared" ref="K253" si="576">K254+K255</f>
        <v>0</v>
      </c>
      <c r="L253" s="83">
        <f t="shared" ref="L253" si="577">L254+L255</f>
        <v>0</v>
      </c>
      <c r="M253" s="83">
        <f t="shared" ref="M253" si="578">M254+M255</f>
        <v>0</v>
      </c>
      <c r="N253" s="83">
        <f t="shared" ref="N253" si="579">N254+N255</f>
        <v>0</v>
      </c>
      <c r="O253" s="83">
        <f t="shared" ref="O253" si="580">O254+O255</f>
        <v>0</v>
      </c>
      <c r="P253" s="83">
        <f t="shared" ref="P253" si="581">P254+P255</f>
        <v>0</v>
      </c>
      <c r="Q253" s="83">
        <f t="shared" ref="Q253" si="582">Q254+Q255</f>
        <v>0</v>
      </c>
      <c r="R253" s="83">
        <f t="shared" ref="R253" si="583">R254+R255</f>
        <v>0</v>
      </c>
      <c r="S253" s="83">
        <f t="shared" ref="S253" si="584">S254+S255</f>
        <v>0</v>
      </c>
      <c r="T253" s="83">
        <f t="shared" ref="T253" si="585">T254+T255</f>
        <v>0</v>
      </c>
      <c r="U253" s="83">
        <f t="shared" ref="U253" si="586">U254+U255</f>
        <v>0</v>
      </c>
      <c r="V253" s="83">
        <f t="shared" ref="V253" si="587">V254+V255</f>
        <v>0</v>
      </c>
      <c r="W253" s="83">
        <f t="shared" ref="W253" si="588">W254+W255</f>
        <v>0</v>
      </c>
      <c r="X253" s="83">
        <f t="shared" ref="X253" si="589">X254+X255</f>
        <v>0</v>
      </c>
      <c r="Y253" s="83">
        <f t="shared" ref="Y253" si="590">Y254+Y255</f>
        <v>0</v>
      </c>
      <c r="Z253" s="83">
        <f t="shared" ref="Z253" si="591">Z254+Z255</f>
        <v>0</v>
      </c>
      <c r="AA253" s="83">
        <f t="shared" ref="AA253" si="592">AA254+AA255</f>
        <v>0</v>
      </c>
    </row>
    <row r="254" spans="2:27" hidden="1" x14ac:dyDescent="0.35">
      <c r="B254" s="69" t="s">
        <v>100</v>
      </c>
      <c r="C254" s="85">
        <f t="shared" ref="C254:AA254" si="593">C18</f>
        <v>1875000</v>
      </c>
      <c r="D254" s="85">
        <f t="shared" si="593"/>
        <v>0</v>
      </c>
      <c r="E254" s="85">
        <f t="shared" si="593"/>
        <v>0</v>
      </c>
      <c r="F254" s="85">
        <f t="shared" si="593"/>
        <v>0</v>
      </c>
      <c r="G254" s="85">
        <f t="shared" si="593"/>
        <v>0</v>
      </c>
      <c r="H254" s="85">
        <f t="shared" si="593"/>
        <v>0</v>
      </c>
      <c r="I254" s="85">
        <f t="shared" si="593"/>
        <v>0</v>
      </c>
      <c r="J254" s="85">
        <f t="shared" si="593"/>
        <v>0</v>
      </c>
      <c r="K254" s="85">
        <f t="shared" si="593"/>
        <v>0</v>
      </c>
      <c r="L254" s="85">
        <f t="shared" si="593"/>
        <v>0</v>
      </c>
      <c r="M254" s="85">
        <f t="shared" si="593"/>
        <v>0</v>
      </c>
      <c r="N254" s="85">
        <f t="shared" si="593"/>
        <v>0</v>
      </c>
      <c r="O254" s="85">
        <f t="shared" si="593"/>
        <v>0</v>
      </c>
      <c r="P254" s="85">
        <f t="shared" si="593"/>
        <v>0</v>
      </c>
      <c r="Q254" s="85">
        <f t="shared" si="593"/>
        <v>0</v>
      </c>
      <c r="R254" s="85">
        <f t="shared" si="593"/>
        <v>0</v>
      </c>
      <c r="S254" s="85">
        <f t="shared" si="593"/>
        <v>0</v>
      </c>
      <c r="T254" s="85">
        <f t="shared" si="593"/>
        <v>0</v>
      </c>
      <c r="U254" s="85">
        <f t="shared" si="593"/>
        <v>0</v>
      </c>
      <c r="V254" s="85">
        <f t="shared" si="593"/>
        <v>0</v>
      </c>
      <c r="W254" s="85">
        <f t="shared" si="593"/>
        <v>0</v>
      </c>
      <c r="X254" s="85">
        <f t="shared" si="593"/>
        <v>0</v>
      </c>
      <c r="Y254" s="85">
        <f t="shared" si="593"/>
        <v>0</v>
      </c>
      <c r="Z254" s="85">
        <f t="shared" si="593"/>
        <v>0</v>
      </c>
      <c r="AA254" s="85">
        <f t="shared" si="593"/>
        <v>0</v>
      </c>
    </row>
    <row r="255" spans="2:27" hidden="1" collapsed="1" x14ac:dyDescent="0.35">
      <c r="B255" s="69" t="s">
        <v>103</v>
      </c>
      <c r="C255" s="85">
        <f t="shared" ref="C255:E255" si="594">+SUM(C256:C267)</f>
        <v>0</v>
      </c>
      <c r="D255" s="85">
        <f t="shared" si="594"/>
        <v>2471524.9999999995</v>
      </c>
      <c r="E255" s="85">
        <f t="shared" si="594"/>
        <v>4422240.8124999991</v>
      </c>
      <c r="F255" s="85">
        <f t="shared" ref="F255" si="595">+SUM(F256:F267)</f>
        <v>5668204.1995249977</v>
      </c>
      <c r="G255" s="85">
        <f t="shared" ref="G255" si="596">+SUM(G256:G267)</f>
        <v>3930972.1824498107</v>
      </c>
      <c r="H255" s="85">
        <f t="shared" ref="H255" si="597">+SUM(H256:H267)</f>
        <v>0</v>
      </c>
      <c r="I255" s="85">
        <f t="shared" ref="I255" si="598">+SUM(I256:I267)</f>
        <v>0</v>
      </c>
      <c r="J255" s="85">
        <f t="shared" ref="J255" si="599">+SUM(J256:J267)</f>
        <v>0</v>
      </c>
      <c r="K255" s="85">
        <f t="shared" ref="K255" si="600">+SUM(K256:K267)</f>
        <v>0</v>
      </c>
      <c r="L255" s="85">
        <f t="shared" ref="L255" si="601">+SUM(L256:L267)</f>
        <v>0</v>
      </c>
      <c r="M255" s="85">
        <f t="shared" ref="M255" si="602">+SUM(M256:M267)</f>
        <v>0</v>
      </c>
      <c r="N255" s="85">
        <f t="shared" ref="N255" si="603">+SUM(N256:N267)</f>
        <v>0</v>
      </c>
      <c r="O255" s="85">
        <f t="shared" ref="O255" si="604">+SUM(O256:O267)</f>
        <v>0</v>
      </c>
      <c r="P255" s="85">
        <f t="shared" ref="P255" si="605">+SUM(P256:P267)</f>
        <v>0</v>
      </c>
      <c r="Q255" s="85">
        <f t="shared" ref="Q255" si="606">+SUM(Q256:Q267)</f>
        <v>0</v>
      </c>
      <c r="R255" s="85">
        <f t="shared" ref="R255" si="607">+SUM(R256:R267)</f>
        <v>0</v>
      </c>
      <c r="S255" s="85">
        <f t="shared" ref="S255" si="608">+SUM(S256:S267)</f>
        <v>0</v>
      </c>
      <c r="T255" s="85">
        <f t="shared" ref="T255" si="609">+SUM(T256:T267)</f>
        <v>0</v>
      </c>
      <c r="U255" s="85">
        <f t="shared" ref="U255" si="610">+SUM(U256:U267)</f>
        <v>0</v>
      </c>
      <c r="V255" s="85">
        <f t="shared" ref="V255" si="611">+SUM(V256:V267)</f>
        <v>0</v>
      </c>
      <c r="W255" s="85">
        <f t="shared" ref="W255" si="612">+SUM(W256:W267)</f>
        <v>0</v>
      </c>
      <c r="X255" s="85">
        <f t="shared" ref="X255" si="613">+SUM(X256:X267)</f>
        <v>0</v>
      </c>
      <c r="Y255" s="85">
        <f t="shared" ref="Y255" si="614">+SUM(Y256:Y267)</f>
        <v>0</v>
      </c>
      <c r="Z255" s="85">
        <f t="shared" ref="Z255" si="615">+SUM(Z256:Z267)</f>
        <v>0</v>
      </c>
      <c r="AA255" s="85">
        <f t="shared" ref="AA255" si="616">+SUM(AA256:AA267)</f>
        <v>0</v>
      </c>
    </row>
    <row r="256" spans="2:27" hidden="1" outlineLevel="1" x14ac:dyDescent="0.35">
      <c r="B256" s="126" t="s">
        <v>14</v>
      </c>
      <c r="C256" s="85">
        <f t="shared" ref="C256:AA256" si="617">C20</f>
        <v>0</v>
      </c>
      <c r="D256" s="85">
        <f t="shared" si="617"/>
        <v>2029999.9999999998</v>
      </c>
      <c r="E256" s="85">
        <f t="shared" si="617"/>
        <v>0</v>
      </c>
      <c r="F256" s="85">
        <f t="shared" si="617"/>
        <v>0</v>
      </c>
      <c r="G256" s="85">
        <f t="shared" si="617"/>
        <v>0</v>
      </c>
      <c r="H256" s="85">
        <f t="shared" si="617"/>
        <v>0</v>
      </c>
      <c r="I256" s="85">
        <f t="shared" si="617"/>
        <v>0</v>
      </c>
      <c r="J256" s="85">
        <f t="shared" si="617"/>
        <v>0</v>
      </c>
      <c r="K256" s="85">
        <f t="shared" si="617"/>
        <v>0</v>
      </c>
      <c r="L256" s="85">
        <f t="shared" si="617"/>
        <v>0</v>
      </c>
      <c r="M256" s="85">
        <f t="shared" si="617"/>
        <v>0</v>
      </c>
      <c r="N256" s="85">
        <f t="shared" si="617"/>
        <v>0</v>
      </c>
      <c r="O256" s="85">
        <f t="shared" si="617"/>
        <v>0</v>
      </c>
      <c r="P256" s="85">
        <f t="shared" si="617"/>
        <v>0</v>
      </c>
      <c r="Q256" s="85">
        <f t="shared" si="617"/>
        <v>0</v>
      </c>
      <c r="R256" s="85">
        <f t="shared" si="617"/>
        <v>0</v>
      </c>
      <c r="S256" s="85">
        <f t="shared" si="617"/>
        <v>0</v>
      </c>
      <c r="T256" s="85">
        <f t="shared" si="617"/>
        <v>0</v>
      </c>
      <c r="U256" s="85">
        <f t="shared" si="617"/>
        <v>0</v>
      </c>
      <c r="V256" s="85">
        <f t="shared" si="617"/>
        <v>0</v>
      </c>
      <c r="W256" s="85">
        <f t="shared" si="617"/>
        <v>0</v>
      </c>
      <c r="X256" s="85">
        <f t="shared" si="617"/>
        <v>0</v>
      </c>
      <c r="Y256" s="85">
        <f t="shared" si="617"/>
        <v>0</v>
      </c>
      <c r="Z256" s="85">
        <f t="shared" si="617"/>
        <v>0</v>
      </c>
      <c r="AA256" s="85">
        <f t="shared" si="617"/>
        <v>0</v>
      </c>
    </row>
    <row r="257" spans="2:27" hidden="1" outlineLevel="1" x14ac:dyDescent="0.35">
      <c r="B257" s="126" t="s">
        <v>15</v>
      </c>
      <c r="C257" s="85">
        <f t="shared" ref="C257:AA257" si="618">C21</f>
        <v>0</v>
      </c>
      <c r="D257" s="85">
        <f t="shared" si="618"/>
        <v>30449.999999999996</v>
      </c>
      <c r="E257" s="85">
        <f t="shared" si="618"/>
        <v>30906.749999999993</v>
      </c>
      <c r="F257" s="85">
        <f t="shared" si="618"/>
        <v>0</v>
      </c>
      <c r="G257" s="85">
        <f t="shared" si="618"/>
        <v>0</v>
      </c>
      <c r="H257" s="85">
        <f t="shared" si="618"/>
        <v>0</v>
      </c>
      <c r="I257" s="85">
        <f t="shared" si="618"/>
        <v>0</v>
      </c>
      <c r="J257" s="85">
        <f t="shared" si="618"/>
        <v>0</v>
      </c>
      <c r="K257" s="85">
        <f t="shared" si="618"/>
        <v>0</v>
      </c>
      <c r="L257" s="85">
        <f t="shared" si="618"/>
        <v>0</v>
      </c>
      <c r="M257" s="85">
        <f t="shared" si="618"/>
        <v>0</v>
      </c>
      <c r="N257" s="85">
        <f t="shared" si="618"/>
        <v>0</v>
      </c>
      <c r="O257" s="85">
        <f t="shared" si="618"/>
        <v>0</v>
      </c>
      <c r="P257" s="85">
        <f t="shared" si="618"/>
        <v>0</v>
      </c>
      <c r="Q257" s="85">
        <f t="shared" si="618"/>
        <v>0</v>
      </c>
      <c r="R257" s="85">
        <f t="shared" si="618"/>
        <v>0</v>
      </c>
      <c r="S257" s="85">
        <f t="shared" si="618"/>
        <v>0</v>
      </c>
      <c r="T257" s="85">
        <f t="shared" si="618"/>
        <v>0</v>
      </c>
      <c r="U257" s="85">
        <f t="shared" si="618"/>
        <v>0</v>
      </c>
      <c r="V257" s="85">
        <f t="shared" si="618"/>
        <v>0</v>
      </c>
      <c r="W257" s="85">
        <f t="shared" si="618"/>
        <v>0</v>
      </c>
      <c r="X257" s="85">
        <f t="shared" si="618"/>
        <v>0</v>
      </c>
      <c r="Y257" s="85">
        <f t="shared" si="618"/>
        <v>0</v>
      </c>
      <c r="Z257" s="85">
        <f t="shared" si="618"/>
        <v>0</v>
      </c>
      <c r="AA257" s="85">
        <f t="shared" si="618"/>
        <v>0</v>
      </c>
    </row>
    <row r="258" spans="2:27" hidden="1" outlineLevel="1" x14ac:dyDescent="0.35">
      <c r="B258" s="126" t="s">
        <v>32</v>
      </c>
      <c r="C258" s="85">
        <f>+'Project Assumptions'!$D17*'Sensitivity 2'!$J$8*'Project Assumptions'!G17*(1+'Sensitivity 2'!$D$5)^'Government Impact_baseline'!C$3</f>
        <v>0</v>
      </c>
      <c r="D258" s="85">
        <f>+'Project Assumptions'!$D17*'Sensitivity 2'!$J$8*'Project Assumptions'!H17*(1+'Sensitivity 2'!$D$5)^'Government Impact_baseline'!D$3</f>
        <v>411074.99999999994</v>
      </c>
      <c r="E258" s="85">
        <f>+'Project Assumptions'!$D17*'Sensitivity 2'!$J$8*'Project Assumptions'!I17*(1+'Sensitivity 2'!$D$5)^'Government Impact_baseline'!E$3</f>
        <v>1808044.8749999995</v>
      </c>
      <c r="F258" s="85">
        <f>+'Project Assumptions'!$D17*'Sensitivity 2'!$J$8*'Project Assumptions'!J17*(1+'Sensitivity 2'!$D$5)^'Government Impact_baseline'!F$3</f>
        <v>564666.32249999978</v>
      </c>
      <c r="G258" s="85">
        <f>+'Project Assumptions'!$D17*'Sensitivity 2'!$J$8*'Project Assumptions'!K17*(1+'Sensitivity 2'!$D$5)^'Government Impact_baseline'!G$3</f>
        <v>0</v>
      </c>
      <c r="H258" s="85">
        <f>+'Project Assumptions'!$D17*'Sensitivity 2'!$J$8*'Project Assumptions'!L17*(1+'Sensitivity 2'!$D$5)^'Government Impact_baseline'!H$3</f>
        <v>0</v>
      </c>
      <c r="I258" s="85">
        <f t="shared" ref="I258:AA258" si="619">I22</f>
        <v>0</v>
      </c>
      <c r="J258" s="85">
        <f t="shared" si="619"/>
        <v>0</v>
      </c>
      <c r="K258" s="85">
        <f t="shared" si="619"/>
        <v>0</v>
      </c>
      <c r="L258" s="85">
        <f t="shared" si="619"/>
        <v>0</v>
      </c>
      <c r="M258" s="85">
        <f t="shared" si="619"/>
        <v>0</v>
      </c>
      <c r="N258" s="85">
        <f t="shared" si="619"/>
        <v>0</v>
      </c>
      <c r="O258" s="85">
        <f t="shared" si="619"/>
        <v>0</v>
      </c>
      <c r="P258" s="85">
        <f t="shared" si="619"/>
        <v>0</v>
      </c>
      <c r="Q258" s="85">
        <f t="shared" si="619"/>
        <v>0</v>
      </c>
      <c r="R258" s="85">
        <f t="shared" si="619"/>
        <v>0</v>
      </c>
      <c r="S258" s="85">
        <f t="shared" si="619"/>
        <v>0</v>
      </c>
      <c r="T258" s="85">
        <f t="shared" si="619"/>
        <v>0</v>
      </c>
      <c r="U258" s="85">
        <f t="shared" si="619"/>
        <v>0</v>
      </c>
      <c r="V258" s="85">
        <f t="shared" si="619"/>
        <v>0</v>
      </c>
      <c r="W258" s="85">
        <f t="shared" si="619"/>
        <v>0</v>
      </c>
      <c r="X258" s="85">
        <f t="shared" si="619"/>
        <v>0</v>
      </c>
      <c r="Y258" s="85">
        <f t="shared" si="619"/>
        <v>0</v>
      </c>
      <c r="Z258" s="85">
        <f t="shared" si="619"/>
        <v>0</v>
      </c>
      <c r="AA258" s="85">
        <f t="shared" si="619"/>
        <v>0</v>
      </c>
    </row>
    <row r="259" spans="2:27" hidden="1" outlineLevel="1" x14ac:dyDescent="0.35">
      <c r="B259" s="126" t="s">
        <v>31</v>
      </c>
      <c r="C259" s="85">
        <f>'Sensitivity 2'!$J$11*'Project Assumptions'!$E18*'Project Assumptions'!G18*(1+'Sensitivity 2'!$D$5)^'Government Impact_baseline'!C$3</f>
        <v>0</v>
      </c>
      <c r="D259" s="85">
        <f>'Sensitivity 2'!$J$11*'Project Assumptions'!$E18*'Project Assumptions'!H18*(1+'Sensitivity 2'!$D$5)^'Government Impact_baseline'!D$3</f>
        <v>0</v>
      </c>
      <c r="E259" s="85">
        <f>'Sensitivity 2'!$J$11*'Project Assumptions'!$E18*'Project Assumptions'!I18*(1+'Sensitivity 2'!$D$5)^'Government Impact_baseline'!E$3</f>
        <v>2511173.4374999995</v>
      </c>
      <c r="F259" s="85">
        <f>'Sensitivity 2'!$J$11*'Project Assumptions'!$E18*'Project Assumptions'!J18*(1+'Sensitivity 2'!$D$5)^'Government Impact_baseline'!F$3</f>
        <v>4587913.870312498</v>
      </c>
      <c r="G259" s="85">
        <f>'Sensitivity 2'!$J$11*'Project Assumptions'!$E18*'Project Assumptions'!K18*(1+'Sensitivity 2'!$D$5)^'Government Impact_baseline'!G$3</f>
        <v>3104488.3855781234</v>
      </c>
      <c r="H259" s="85">
        <f t="shared" ref="H259:AA259" si="620">H23</f>
        <v>0</v>
      </c>
      <c r="I259" s="85">
        <f t="shared" si="620"/>
        <v>0</v>
      </c>
      <c r="J259" s="85">
        <f t="shared" si="620"/>
        <v>0</v>
      </c>
      <c r="K259" s="85">
        <f t="shared" si="620"/>
        <v>0</v>
      </c>
      <c r="L259" s="85">
        <f t="shared" si="620"/>
        <v>0</v>
      </c>
      <c r="M259" s="85">
        <f t="shared" si="620"/>
        <v>0</v>
      </c>
      <c r="N259" s="85">
        <f t="shared" si="620"/>
        <v>0</v>
      </c>
      <c r="O259" s="85">
        <f t="shared" si="620"/>
        <v>0</v>
      </c>
      <c r="P259" s="85">
        <f t="shared" si="620"/>
        <v>0</v>
      </c>
      <c r="Q259" s="85">
        <f t="shared" si="620"/>
        <v>0</v>
      </c>
      <c r="R259" s="85">
        <f t="shared" si="620"/>
        <v>0</v>
      </c>
      <c r="S259" s="85">
        <f t="shared" si="620"/>
        <v>0</v>
      </c>
      <c r="T259" s="85">
        <f t="shared" si="620"/>
        <v>0</v>
      </c>
      <c r="U259" s="85">
        <f t="shared" si="620"/>
        <v>0</v>
      </c>
      <c r="V259" s="85">
        <f t="shared" si="620"/>
        <v>0</v>
      </c>
      <c r="W259" s="85">
        <f t="shared" si="620"/>
        <v>0</v>
      </c>
      <c r="X259" s="85">
        <f t="shared" si="620"/>
        <v>0</v>
      </c>
      <c r="Y259" s="85">
        <f t="shared" si="620"/>
        <v>0</v>
      </c>
      <c r="Z259" s="85">
        <f t="shared" si="620"/>
        <v>0</v>
      </c>
      <c r="AA259" s="85">
        <f t="shared" si="620"/>
        <v>0</v>
      </c>
    </row>
    <row r="260" spans="2:27" hidden="1" outlineLevel="1" x14ac:dyDescent="0.35">
      <c r="B260" s="126" t="s">
        <v>35</v>
      </c>
      <c r="C260" s="85">
        <f t="shared" ref="C260:AA260" si="621">C24</f>
        <v>0</v>
      </c>
      <c r="D260" s="85">
        <f t="shared" si="621"/>
        <v>0</v>
      </c>
      <c r="E260" s="85">
        <f t="shared" si="621"/>
        <v>72115.749999999985</v>
      </c>
      <c r="F260" s="85">
        <f t="shared" si="621"/>
        <v>131755.47524999996</v>
      </c>
      <c r="G260" s="85">
        <f t="shared" si="621"/>
        <v>89154.538252499959</v>
      </c>
      <c r="H260" s="85">
        <f t="shared" si="621"/>
        <v>0</v>
      </c>
      <c r="I260" s="85">
        <f t="shared" si="621"/>
        <v>0</v>
      </c>
      <c r="J260" s="85">
        <f t="shared" si="621"/>
        <v>0</v>
      </c>
      <c r="K260" s="85">
        <f t="shared" si="621"/>
        <v>0</v>
      </c>
      <c r="L260" s="85">
        <f t="shared" si="621"/>
        <v>0</v>
      </c>
      <c r="M260" s="85">
        <f t="shared" si="621"/>
        <v>0</v>
      </c>
      <c r="N260" s="85">
        <f t="shared" si="621"/>
        <v>0</v>
      </c>
      <c r="O260" s="85">
        <f t="shared" si="621"/>
        <v>0</v>
      </c>
      <c r="P260" s="85">
        <f t="shared" si="621"/>
        <v>0</v>
      </c>
      <c r="Q260" s="85">
        <f t="shared" si="621"/>
        <v>0</v>
      </c>
      <c r="R260" s="85">
        <f t="shared" si="621"/>
        <v>0</v>
      </c>
      <c r="S260" s="85">
        <f t="shared" si="621"/>
        <v>0</v>
      </c>
      <c r="T260" s="85">
        <f t="shared" si="621"/>
        <v>0</v>
      </c>
      <c r="U260" s="85">
        <f t="shared" si="621"/>
        <v>0</v>
      </c>
      <c r="V260" s="85">
        <f t="shared" si="621"/>
        <v>0</v>
      </c>
      <c r="W260" s="85">
        <f t="shared" si="621"/>
        <v>0</v>
      </c>
      <c r="X260" s="85">
        <f t="shared" si="621"/>
        <v>0</v>
      </c>
      <c r="Y260" s="85">
        <f t="shared" si="621"/>
        <v>0</v>
      </c>
      <c r="Z260" s="85">
        <f t="shared" si="621"/>
        <v>0</v>
      </c>
      <c r="AA260" s="85">
        <f t="shared" si="621"/>
        <v>0</v>
      </c>
    </row>
    <row r="261" spans="2:27" hidden="1" outlineLevel="1" x14ac:dyDescent="0.35">
      <c r="B261" s="126" t="s">
        <v>29</v>
      </c>
      <c r="C261" s="85">
        <f t="shared" ref="C261:AA261" si="622">C25</f>
        <v>0</v>
      </c>
      <c r="D261" s="85">
        <f t="shared" si="622"/>
        <v>0</v>
      </c>
      <c r="E261" s="85">
        <f t="shared" si="622"/>
        <v>0</v>
      </c>
      <c r="F261" s="85">
        <f t="shared" si="622"/>
        <v>210808.76039999991</v>
      </c>
      <c r="G261" s="85">
        <f t="shared" si="622"/>
        <v>499265.4142139997</v>
      </c>
      <c r="H261" s="85">
        <f t="shared" si="622"/>
        <v>0</v>
      </c>
      <c r="I261" s="85">
        <f t="shared" si="622"/>
        <v>0</v>
      </c>
      <c r="J261" s="85">
        <f t="shared" si="622"/>
        <v>0</v>
      </c>
      <c r="K261" s="85">
        <f t="shared" si="622"/>
        <v>0</v>
      </c>
      <c r="L261" s="85">
        <f t="shared" si="622"/>
        <v>0</v>
      </c>
      <c r="M261" s="85">
        <f t="shared" si="622"/>
        <v>0</v>
      </c>
      <c r="N261" s="85">
        <f t="shared" si="622"/>
        <v>0</v>
      </c>
      <c r="O261" s="85">
        <f t="shared" si="622"/>
        <v>0</v>
      </c>
      <c r="P261" s="85">
        <f t="shared" si="622"/>
        <v>0</v>
      </c>
      <c r="Q261" s="85">
        <f t="shared" si="622"/>
        <v>0</v>
      </c>
      <c r="R261" s="85">
        <f t="shared" si="622"/>
        <v>0</v>
      </c>
      <c r="S261" s="85">
        <f t="shared" si="622"/>
        <v>0</v>
      </c>
      <c r="T261" s="85">
        <f t="shared" si="622"/>
        <v>0</v>
      </c>
      <c r="U261" s="85">
        <f t="shared" si="622"/>
        <v>0</v>
      </c>
      <c r="V261" s="85">
        <f t="shared" si="622"/>
        <v>0</v>
      </c>
      <c r="W261" s="85">
        <f t="shared" si="622"/>
        <v>0</v>
      </c>
      <c r="X261" s="85">
        <f t="shared" si="622"/>
        <v>0</v>
      </c>
      <c r="Y261" s="85">
        <f t="shared" si="622"/>
        <v>0</v>
      </c>
      <c r="Z261" s="85">
        <f t="shared" si="622"/>
        <v>0</v>
      </c>
      <c r="AA261" s="85">
        <f t="shared" si="622"/>
        <v>0</v>
      </c>
    </row>
    <row r="262" spans="2:27" hidden="1" outlineLevel="1" x14ac:dyDescent="0.35">
      <c r="B262" s="126" t="s">
        <v>30</v>
      </c>
      <c r="C262" s="85">
        <f t="shared" ref="C262:AA262" si="623">C26</f>
        <v>0</v>
      </c>
      <c r="D262" s="85">
        <f t="shared" si="623"/>
        <v>0</v>
      </c>
      <c r="E262" s="85">
        <f t="shared" si="623"/>
        <v>0</v>
      </c>
      <c r="F262" s="85">
        <f t="shared" si="623"/>
        <v>46009.848499999986</v>
      </c>
      <c r="G262" s="85">
        <f t="shared" si="623"/>
        <v>70049.994341249956</v>
      </c>
      <c r="H262" s="85">
        <f t="shared" si="623"/>
        <v>0</v>
      </c>
      <c r="I262" s="85">
        <f t="shared" si="623"/>
        <v>0</v>
      </c>
      <c r="J262" s="85">
        <f t="shared" si="623"/>
        <v>0</v>
      </c>
      <c r="K262" s="85">
        <f t="shared" si="623"/>
        <v>0</v>
      </c>
      <c r="L262" s="85">
        <f t="shared" si="623"/>
        <v>0</v>
      </c>
      <c r="M262" s="85">
        <f t="shared" si="623"/>
        <v>0</v>
      </c>
      <c r="N262" s="85">
        <f t="shared" si="623"/>
        <v>0</v>
      </c>
      <c r="O262" s="85">
        <f t="shared" si="623"/>
        <v>0</v>
      </c>
      <c r="P262" s="85">
        <f t="shared" si="623"/>
        <v>0</v>
      </c>
      <c r="Q262" s="85">
        <f t="shared" si="623"/>
        <v>0</v>
      </c>
      <c r="R262" s="85">
        <f t="shared" si="623"/>
        <v>0</v>
      </c>
      <c r="S262" s="85">
        <f t="shared" si="623"/>
        <v>0</v>
      </c>
      <c r="T262" s="85">
        <f t="shared" si="623"/>
        <v>0</v>
      </c>
      <c r="U262" s="85">
        <f t="shared" si="623"/>
        <v>0</v>
      </c>
      <c r="V262" s="85">
        <f t="shared" si="623"/>
        <v>0</v>
      </c>
      <c r="W262" s="85">
        <f t="shared" si="623"/>
        <v>0</v>
      </c>
      <c r="X262" s="85">
        <f t="shared" si="623"/>
        <v>0</v>
      </c>
      <c r="Y262" s="85">
        <f t="shared" si="623"/>
        <v>0</v>
      </c>
      <c r="Z262" s="85">
        <f t="shared" si="623"/>
        <v>0</v>
      </c>
      <c r="AA262" s="85">
        <f t="shared" si="623"/>
        <v>0</v>
      </c>
    </row>
    <row r="263" spans="2:27" hidden="1" outlineLevel="1" x14ac:dyDescent="0.35">
      <c r="B263" s="126" t="s">
        <v>21</v>
      </c>
      <c r="C263" s="85">
        <f t="shared" ref="C263:AA263" si="624">C27</f>
        <v>0</v>
      </c>
      <c r="D263" s="85">
        <f t="shared" si="624"/>
        <v>0</v>
      </c>
      <c r="E263" s="85">
        <f t="shared" si="624"/>
        <v>0</v>
      </c>
      <c r="F263" s="85">
        <f t="shared" si="624"/>
        <v>13802.954549999995</v>
      </c>
      <c r="G263" s="85">
        <f t="shared" si="624"/>
        <v>32689.997359249977</v>
      </c>
      <c r="H263" s="85">
        <f t="shared" si="624"/>
        <v>0</v>
      </c>
      <c r="I263" s="85">
        <f t="shared" si="624"/>
        <v>0</v>
      </c>
      <c r="J263" s="85">
        <f t="shared" si="624"/>
        <v>0</v>
      </c>
      <c r="K263" s="85">
        <f t="shared" si="624"/>
        <v>0</v>
      </c>
      <c r="L263" s="85">
        <f t="shared" si="624"/>
        <v>0</v>
      </c>
      <c r="M263" s="85">
        <f t="shared" si="624"/>
        <v>0</v>
      </c>
      <c r="N263" s="85">
        <f t="shared" si="624"/>
        <v>0</v>
      </c>
      <c r="O263" s="85">
        <f t="shared" si="624"/>
        <v>0</v>
      </c>
      <c r="P263" s="85">
        <f t="shared" si="624"/>
        <v>0</v>
      </c>
      <c r="Q263" s="85">
        <f t="shared" si="624"/>
        <v>0</v>
      </c>
      <c r="R263" s="85">
        <f t="shared" si="624"/>
        <v>0</v>
      </c>
      <c r="S263" s="85">
        <f t="shared" si="624"/>
        <v>0</v>
      </c>
      <c r="T263" s="85">
        <f t="shared" si="624"/>
        <v>0</v>
      </c>
      <c r="U263" s="85">
        <f t="shared" si="624"/>
        <v>0</v>
      </c>
      <c r="V263" s="85">
        <f t="shared" si="624"/>
        <v>0</v>
      </c>
      <c r="W263" s="85">
        <f t="shared" si="624"/>
        <v>0</v>
      </c>
      <c r="X263" s="85">
        <f t="shared" si="624"/>
        <v>0</v>
      </c>
      <c r="Y263" s="85">
        <f t="shared" si="624"/>
        <v>0</v>
      </c>
      <c r="Z263" s="85">
        <f t="shared" si="624"/>
        <v>0</v>
      </c>
      <c r="AA263" s="85">
        <f t="shared" si="624"/>
        <v>0</v>
      </c>
    </row>
    <row r="264" spans="2:27" hidden="1" outlineLevel="1" x14ac:dyDescent="0.35">
      <c r="B264" s="126" t="s">
        <v>33</v>
      </c>
      <c r="C264" s="85">
        <f t="shared" ref="C264:AA264" si="625">C28</f>
        <v>0</v>
      </c>
      <c r="D264" s="85">
        <f t="shared" si="625"/>
        <v>0</v>
      </c>
      <c r="E264" s="85">
        <f t="shared" si="625"/>
        <v>0</v>
      </c>
      <c r="F264" s="85">
        <f t="shared" si="625"/>
        <v>3764.4421499999985</v>
      </c>
      <c r="G264" s="85">
        <f t="shared" si="625"/>
        <v>8915.4538252499951</v>
      </c>
      <c r="H264" s="85">
        <f t="shared" si="625"/>
        <v>0</v>
      </c>
      <c r="I264" s="85">
        <f t="shared" si="625"/>
        <v>0</v>
      </c>
      <c r="J264" s="85">
        <f t="shared" si="625"/>
        <v>0</v>
      </c>
      <c r="K264" s="85">
        <f t="shared" si="625"/>
        <v>0</v>
      </c>
      <c r="L264" s="85">
        <f t="shared" si="625"/>
        <v>0</v>
      </c>
      <c r="M264" s="85">
        <f t="shared" si="625"/>
        <v>0</v>
      </c>
      <c r="N264" s="85">
        <f t="shared" si="625"/>
        <v>0</v>
      </c>
      <c r="O264" s="85">
        <f t="shared" si="625"/>
        <v>0</v>
      </c>
      <c r="P264" s="85">
        <f t="shared" si="625"/>
        <v>0</v>
      </c>
      <c r="Q264" s="85">
        <f t="shared" si="625"/>
        <v>0</v>
      </c>
      <c r="R264" s="85">
        <f t="shared" si="625"/>
        <v>0</v>
      </c>
      <c r="S264" s="85">
        <f t="shared" si="625"/>
        <v>0</v>
      </c>
      <c r="T264" s="85">
        <f t="shared" si="625"/>
        <v>0</v>
      </c>
      <c r="U264" s="85">
        <f t="shared" si="625"/>
        <v>0</v>
      </c>
      <c r="V264" s="85">
        <f t="shared" si="625"/>
        <v>0</v>
      </c>
      <c r="W264" s="85">
        <f t="shared" si="625"/>
        <v>0</v>
      </c>
      <c r="X264" s="85">
        <f t="shared" si="625"/>
        <v>0</v>
      </c>
      <c r="Y264" s="85">
        <f t="shared" si="625"/>
        <v>0</v>
      </c>
      <c r="Z264" s="85">
        <f t="shared" si="625"/>
        <v>0</v>
      </c>
      <c r="AA264" s="85">
        <f t="shared" si="625"/>
        <v>0</v>
      </c>
    </row>
    <row r="265" spans="2:27" hidden="1" outlineLevel="1" x14ac:dyDescent="0.35">
      <c r="B265" s="126" t="s">
        <v>34</v>
      </c>
      <c r="C265" s="85">
        <f t="shared" ref="C265:AA265" si="626">C29</f>
        <v>0</v>
      </c>
      <c r="D265" s="85">
        <f t="shared" si="626"/>
        <v>0</v>
      </c>
      <c r="E265" s="85">
        <f t="shared" si="626"/>
        <v>0</v>
      </c>
      <c r="F265" s="85">
        <f t="shared" si="626"/>
        <v>7528.884299999997</v>
      </c>
      <c r="G265" s="85">
        <f t="shared" si="626"/>
        <v>17830.90765049999</v>
      </c>
      <c r="H265" s="85">
        <f t="shared" si="626"/>
        <v>0</v>
      </c>
      <c r="I265" s="85">
        <f t="shared" si="626"/>
        <v>0</v>
      </c>
      <c r="J265" s="85">
        <f t="shared" si="626"/>
        <v>0</v>
      </c>
      <c r="K265" s="85">
        <f t="shared" si="626"/>
        <v>0</v>
      </c>
      <c r="L265" s="85">
        <f t="shared" si="626"/>
        <v>0</v>
      </c>
      <c r="M265" s="85">
        <f t="shared" si="626"/>
        <v>0</v>
      </c>
      <c r="N265" s="85">
        <f t="shared" si="626"/>
        <v>0</v>
      </c>
      <c r="O265" s="85">
        <f t="shared" si="626"/>
        <v>0</v>
      </c>
      <c r="P265" s="85">
        <f t="shared" si="626"/>
        <v>0</v>
      </c>
      <c r="Q265" s="85">
        <f t="shared" si="626"/>
        <v>0</v>
      </c>
      <c r="R265" s="85">
        <f t="shared" si="626"/>
        <v>0</v>
      </c>
      <c r="S265" s="85">
        <f t="shared" si="626"/>
        <v>0</v>
      </c>
      <c r="T265" s="85">
        <f t="shared" si="626"/>
        <v>0</v>
      </c>
      <c r="U265" s="85">
        <f t="shared" si="626"/>
        <v>0</v>
      </c>
      <c r="V265" s="85">
        <f t="shared" si="626"/>
        <v>0</v>
      </c>
      <c r="W265" s="85">
        <f t="shared" si="626"/>
        <v>0</v>
      </c>
      <c r="X265" s="85">
        <f t="shared" si="626"/>
        <v>0</v>
      </c>
      <c r="Y265" s="85">
        <f t="shared" si="626"/>
        <v>0</v>
      </c>
      <c r="Z265" s="85">
        <f t="shared" si="626"/>
        <v>0</v>
      </c>
      <c r="AA265" s="85">
        <f t="shared" si="626"/>
        <v>0</v>
      </c>
    </row>
    <row r="266" spans="2:27" hidden="1" outlineLevel="1" x14ac:dyDescent="0.35">
      <c r="B266" s="126" t="s">
        <v>38</v>
      </c>
      <c r="C266" s="85">
        <f t="shared" ref="C266:AA266" si="627">C30</f>
        <v>0</v>
      </c>
      <c r="D266" s="85">
        <f t="shared" si="627"/>
        <v>0</v>
      </c>
      <c r="E266" s="85">
        <f t="shared" si="627"/>
        <v>0</v>
      </c>
      <c r="F266" s="85">
        <f t="shared" si="627"/>
        <v>101953.64156249996</v>
      </c>
      <c r="G266" s="85">
        <f t="shared" si="627"/>
        <v>103482.94618593744</v>
      </c>
      <c r="H266" s="85">
        <f t="shared" si="627"/>
        <v>0</v>
      </c>
      <c r="I266" s="85">
        <f t="shared" si="627"/>
        <v>0</v>
      </c>
      <c r="J266" s="85">
        <f t="shared" si="627"/>
        <v>0</v>
      </c>
      <c r="K266" s="85">
        <f t="shared" si="627"/>
        <v>0</v>
      </c>
      <c r="L266" s="85">
        <f t="shared" si="627"/>
        <v>0</v>
      </c>
      <c r="M266" s="85">
        <f t="shared" si="627"/>
        <v>0</v>
      </c>
      <c r="N266" s="85">
        <f t="shared" si="627"/>
        <v>0</v>
      </c>
      <c r="O266" s="85">
        <f t="shared" si="627"/>
        <v>0</v>
      </c>
      <c r="P266" s="85">
        <f t="shared" si="627"/>
        <v>0</v>
      </c>
      <c r="Q266" s="85">
        <f t="shared" si="627"/>
        <v>0</v>
      </c>
      <c r="R266" s="85">
        <f t="shared" si="627"/>
        <v>0</v>
      </c>
      <c r="S266" s="85">
        <f t="shared" si="627"/>
        <v>0</v>
      </c>
      <c r="T266" s="85">
        <f t="shared" si="627"/>
        <v>0</v>
      </c>
      <c r="U266" s="85">
        <f t="shared" si="627"/>
        <v>0</v>
      </c>
      <c r="V266" s="85">
        <f t="shared" si="627"/>
        <v>0</v>
      </c>
      <c r="W266" s="85">
        <f t="shared" si="627"/>
        <v>0</v>
      </c>
      <c r="X266" s="85">
        <f t="shared" si="627"/>
        <v>0</v>
      </c>
      <c r="Y266" s="85">
        <f t="shared" si="627"/>
        <v>0</v>
      </c>
      <c r="Z266" s="85">
        <f t="shared" si="627"/>
        <v>0</v>
      </c>
      <c r="AA266" s="85">
        <f t="shared" si="627"/>
        <v>0</v>
      </c>
    </row>
    <row r="267" spans="2:27" hidden="1" outlineLevel="1" x14ac:dyDescent="0.35">
      <c r="B267" s="126" t="s">
        <v>50</v>
      </c>
      <c r="C267" s="85">
        <f t="shared" ref="C267:AA267" si="628">C31</f>
        <v>0</v>
      </c>
      <c r="D267" s="85">
        <f t="shared" si="628"/>
        <v>0</v>
      </c>
      <c r="E267" s="85">
        <f t="shared" si="628"/>
        <v>0</v>
      </c>
      <c r="F267" s="85">
        <f t="shared" si="628"/>
        <v>0</v>
      </c>
      <c r="G267" s="85">
        <f t="shared" si="628"/>
        <v>5094.5450429999973</v>
      </c>
      <c r="H267" s="85">
        <f t="shared" si="628"/>
        <v>0</v>
      </c>
      <c r="I267" s="85">
        <f t="shared" si="628"/>
        <v>0</v>
      </c>
      <c r="J267" s="85">
        <f t="shared" si="628"/>
        <v>0</v>
      </c>
      <c r="K267" s="85">
        <f t="shared" si="628"/>
        <v>0</v>
      </c>
      <c r="L267" s="85">
        <f t="shared" si="628"/>
        <v>0</v>
      </c>
      <c r="M267" s="85">
        <f t="shared" si="628"/>
        <v>0</v>
      </c>
      <c r="N267" s="85">
        <f t="shared" si="628"/>
        <v>0</v>
      </c>
      <c r="O267" s="85">
        <f t="shared" si="628"/>
        <v>0</v>
      </c>
      <c r="P267" s="85">
        <f t="shared" si="628"/>
        <v>0</v>
      </c>
      <c r="Q267" s="85">
        <f t="shared" si="628"/>
        <v>0</v>
      </c>
      <c r="R267" s="85">
        <f t="shared" si="628"/>
        <v>0</v>
      </c>
      <c r="S267" s="85">
        <f t="shared" si="628"/>
        <v>0</v>
      </c>
      <c r="T267" s="85">
        <f t="shared" si="628"/>
        <v>0</v>
      </c>
      <c r="U267" s="85">
        <f t="shared" si="628"/>
        <v>0</v>
      </c>
      <c r="V267" s="85">
        <f t="shared" si="628"/>
        <v>0</v>
      </c>
      <c r="W267" s="85">
        <f t="shared" si="628"/>
        <v>0</v>
      </c>
      <c r="X267" s="85">
        <f t="shared" si="628"/>
        <v>0</v>
      </c>
      <c r="Y267" s="85">
        <f t="shared" si="628"/>
        <v>0</v>
      </c>
      <c r="Z267" s="85">
        <f t="shared" si="628"/>
        <v>0</v>
      </c>
      <c r="AA267" s="85">
        <f t="shared" si="628"/>
        <v>0</v>
      </c>
    </row>
    <row r="268" spans="2:27" hidden="1" x14ac:dyDescent="0.35">
      <c r="B268" s="70" t="s">
        <v>123</v>
      </c>
      <c r="C268" s="88">
        <f t="shared" ref="C268:AA268" si="629">C240-C242-C253</f>
        <v>-1875000</v>
      </c>
      <c r="D268" s="88">
        <f t="shared" si="629"/>
        <v>-2659024.9999999995</v>
      </c>
      <c r="E268" s="88">
        <f t="shared" si="629"/>
        <v>-4856893.3124999991</v>
      </c>
      <c r="F268" s="88">
        <f t="shared" si="629"/>
        <v>-7178176.2961349972</v>
      </c>
      <c r="G268" s="88">
        <f t="shared" si="629"/>
        <v>-7945036.9760139091</v>
      </c>
      <c r="H268" s="88">
        <f t="shared" si="629"/>
        <v>-2476378.2078251997</v>
      </c>
      <c r="I268" s="88">
        <f t="shared" si="629"/>
        <v>-2399703.8266784917</v>
      </c>
      <c r="J268" s="88">
        <f t="shared" si="629"/>
        <v>-2323256.9254791681</v>
      </c>
      <c r="K268" s="88">
        <f t="shared" si="629"/>
        <v>-2247040.9164264407</v>
      </c>
      <c r="L268" s="88">
        <f t="shared" si="629"/>
        <v>-2171059.2629025076</v>
      </c>
      <c r="M268" s="88">
        <f t="shared" si="629"/>
        <v>-2095315.4802403012</v>
      </c>
      <c r="N268" s="88">
        <f t="shared" si="629"/>
        <v>-2019813.1365027474</v>
      </c>
      <c r="O268" s="88">
        <f t="shared" si="629"/>
        <v>-1944555.8532737158</v>
      </c>
      <c r="P268" s="88">
        <f t="shared" si="629"/>
        <v>-2472334.3721905053</v>
      </c>
      <c r="Q268" s="88">
        <f t="shared" si="629"/>
        <v>-4733723.9939728081</v>
      </c>
      <c r="R268" s="88">
        <f t="shared" si="629"/>
        <v>-1720291.4022341846</v>
      </c>
      <c r="S268" s="88">
        <f t="shared" si="629"/>
        <v>-1646051.6756494672</v>
      </c>
      <c r="T268" s="88">
        <f t="shared" si="629"/>
        <v>-1572075.9488305645</v>
      </c>
      <c r="U268" s="88">
        <f t="shared" si="629"/>
        <v>-1498368.1817739638</v>
      </c>
      <c r="V268" s="88">
        <f t="shared" si="629"/>
        <v>-1424932.3938761</v>
      </c>
      <c r="W268" s="88">
        <f t="shared" si="629"/>
        <v>-1351772.6648243535</v>
      </c>
      <c r="X268" s="88">
        <f t="shared" si="629"/>
        <v>-1278893.1355014166</v>
      </c>
      <c r="Y268" s="88">
        <f t="shared" si="629"/>
        <v>-1206298.0089032212</v>
      </c>
      <c r="Z268" s="88">
        <f t="shared" si="629"/>
        <v>-1133991.5510706385</v>
      </c>
      <c r="AA268" s="88">
        <f t="shared" si="629"/>
        <v>-1061978.041062779</v>
      </c>
    </row>
    <row r="269" spans="2:27" hidden="1" x14ac:dyDescent="0.35"/>
    <row r="270" spans="2:27" hidden="1" x14ac:dyDescent="0.35">
      <c r="B270" s="3" t="s">
        <v>144</v>
      </c>
    </row>
    <row r="271" spans="2:27" hidden="1" x14ac:dyDescent="0.35">
      <c r="B271" t="s">
        <v>148</v>
      </c>
      <c r="C271" s="127">
        <f t="shared" ref="C271" si="630">+C272-C274</f>
        <v>1875000</v>
      </c>
      <c r="D271" s="127">
        <f t="shared" ref="D271" si="631">+C271+D272-D274</f>
        <v>4346525</v>
      </c>
      <c r="E271" s="127">
        <f t="shared" ref="E271" si="632">+D271+E272-E274</f>
        <v>8768765.8125</v>
      </c>
      <c r="F271" s="127">
        <f t="shared" ref="F271" si="633">+E271+F272-F274</f>
        <v>14436970.012024999</v>
      </c>
      <c r="G271" s="127">
        <f t="shared" ref="G271" si="634">+F271+G272-G274</f>
        <v>18367942.194474809</v>
      </c>
      <c r="H271" s="127">
        <f t="shared" ref="H271" si="635">+G271+H272-H274</f>
        <v>17449545.08475107</v>
      </c>
      <c r="I271" s="127">
        <f t="shared" ref="I271" si="636">+H271+I272-I274</f>
        <v>16531147.975027328</v>
      </c>
      <c r="J271" s="127">
        <f t="shared" ref="J271" si="637">+I271+J272-J274</f>
        <v>15612750.865303587</v>
      </c>
      <c r="K271" s="127">
        <f t="shared" ref="K271" si="638">+J271+K272-K274</f>
        <v>14694353.755579846</v>
      </c>
      <c r="L271" s="127">
        <f t="shared" ref="L271" si="639">+K271+L272-L274</f>
        <v>13775956.645856105</v>
      </c>
      <c r="M271" s="127">
        <f t="shared" ref="M271" si="640">+L271+M272-M274</f>
        <v>12857559.536132364</v>
      </c>
      <c r="N271" s="127">
        <f t="shared" ref="N271" si="641">+M271+N272-N274</f>
        <v>11939162.426408622</v>
      </c>
      <c r="O271" s="127">
        <f t="shared" ref="O271" si="642">+N271+O272-O274</f>
        <v>11020765.316684881</v>
      </c>
      <c r="P271" s="127">
        <f t="shared" ref="P271" si="643">+O271+P272-P274</f>
        <v>10102368.20696114</v>
      </c>
      <c r="Q271" s="127">
        <f t="shared" ref="Q271" si="644">+P271+Q272-Q274</f>
        <v>9183971.0972373988</v>
      </c>
      <c r="R271" s="127">
        <f t="shared" ref="R271" si="645">+Q271+R272-R274</f>
        <v>8265573.9875136586</v>
      </c>
      <c r="S271" s="127">
        <f t="shared" ref="S271" si="646">+R271+S272-S274</f>
        <v>7347176.8777899183</v>
      </c>
      <c r="T271" s="127">
        <f t="shared" ref="T271" si="647">+S271+T272-T274</f>
        <v>6428779.7680661781</v>
      </c>
      <c r="U271" s="127">
        <f t="shared" ref="U271" si="648">+T271+U272-U274</f>
        <v>5510382.6583424378</v>
      </c>
      <c r="V271" s="127">
        <f t="shared" ref="V271" si="649">+U271+V272-V274</f>
        <v>4591985.5486186976</v>
      </c>
      <c r="W271" s="127">
        <f t="shared" ref="W271" si="650">+V271+W272-W274</f>
        <v>3673588.4388949573</v>
      </c>
      <c r="X271" s="127">
        <f t="shared" ref="X271" si="651">+W271+X272-X274</f>
        <v>2755191.329171217</v>
      </c>
      <c r="Y271" s="127">
        <f t="shared" ref="Y271" si="652">+X271+Y272-Y274</f>
        <v>1836794.2194474766</v>
      </c>
      <c r="Z271" s="127">
        <f>ROUND(Y271+Z272-Z274,1)</f>
        <v>918397.1</v>
      </c>
      <c r="AA271" s="127">
        <f>ROUND(Z271+AA272-AA274,1)</f>
        <v>0</v>
      </c>
    </row>
    <row r="272" spans="2:27" hidden="1" x14ac:dyDescent="0.35">
      <c r="B272" t="s">
        <v>142</v>
      </c>
      <c r="C272" s="127">
        <f t="shared" ref="C272:AA272" si="653">+C253</f>
        <v>1875000</v>
      </c>
      <c r="D272" s="127">
        <f t="shared" si="653"/>
        <v>2471524.9999999995</v>
      </c>
      <c r="E272" s="127">
        <f t="shared" si="653"/>
        <v>4422240.8124999991</v>
      </c>
      <c r="F272" s="127">
        <f t="shared" si="653"/>
        <v>5668204.1995249977</v>
      </c>
      <c r="G272" s="127">
        <f t="shared" si="653"/>
        <v>3930972.1824498107</v>
      </c>
      <c r="H272" s="127">
        <f t="shared" si="653"/>
        <v>0</v>
      </c>
      <c r="I272" s="127">
        <f t="shared" si="653"/>
        <v>0</v>
      </c>
      <c r="J272" s="127">
        <f t="shared" si="653"/>
        <v>0</v>
      </c>
      <c r="K272" s="127">
        <f t="shared" si="653"/>
        <v>0</v>
      </c>
      <c r="L272" s="127">
        <f t="shared" si="653"/>
        <v>0</v>
      </c>
      <c r="M272" s="127">
        <f t="shared" si="653"/>
        <v>0</v>
      </c>
      <c r="N272" s="127">
        <f t="shared" si="653"/>
        <v>0</v>
      </c>
      <c r="O272" s="127">
        <f t="shared" si="653"/>
        <v>0</v>
      </c>
      <c r="P272" s="127">
        <f t="shared" si="653"/>
        <v>0</v>
      </c>
      <c r="Q272" s="127">
        <f t="shared" si="653"/>
        <v>0</v>
      </c>
      <c r="R272" s="127">
        <f t="shared" si="653"/>
        <v>0</v>
      </c>
      <c r="S272" s="127">
        <f t="shared" si="653"/>
        <v>0</v>
      </c>
      <c r="T272" s="127">
        <f t="shared" si="653"/>
        <v>0</v>
      </c>
      <c r="U272" s="127">
        <f t="shared" si="653"/>
        <v>0</v>
      </c>
      <c r="V272" s="127">
        <f t="shared" si="653"/>
        <v>0</v>
      </c>
      <c r="W272" s="127">
        <f t="shared" si="653"/>
        <v>0</v>
      </c>
      <c r="X272" s="127">
        <f t="shared" si="653"/>
        <v>0</v>
      </c>
      <c r="Y272" s="127">
        <f t="shared" si="653"/>
        <v>0</v>
      </c>
      <c r="Z272" s="127">
        <f t="shared" si="653"/>
        <v>0</v>
      </c>
      <c r="AA272" s="127">
        <f t="shared" si="653"/>
        <v>0</v>
      </c>
    </row>
    <row r="273" spans="2:27" hidden="1" x14ac:dyDescent="0.35">
      <c r="B273" t="s">
        <v>145</v>
      </c>
      <c r="C273" s="127">
        <v>0</v>
      </c>
      <c r="D273" s="127">
        <f>+C271*'Sensitivity 2'!$D$3</f>
        <v>187500</v>
      </c>
      <c r="E273" s="127">
        <f>+D271*'Sensitivity 2'!$D$3</f>
        <v>434652.5</v>
      </c>
      <c r="F273" s="127">
        <f>+E271*'Sensitivity 2'!$D$3</f>
        <v>876876.58125000005</v>
      </c>
      <c r="G273" s="127">
        <f>+F271*'Sensitivity 2'!$D$3</f>
        <v>1443697.0012025</v>
      </c>
      <c r="H273" s="127">
        <f>+G271*'Sensitivity 2'!$D$3</f>
        <v>1836794.219447481</v>
      </c>
      <c r="I273" s="127">
        <f>+H271*'Sensitivity 2'!$D$3</f>
        <v>1744954.5084751071</v>
      </c>
      <c r="J273" s="127">
        <f>+I271*'Sensitivity 2'!$D$3</f>
        <v>1653114.7975027328</v>
      </c>
      <c r="K273" s="127">
        <f>+J271*'Sensitivity 2'!$D$3</f>
        <v>1561275.0865303588</v>
      </c>
      <c r="L273" s="127">
        <f>+K271*'Sensitivity 2'!$D$3</f>
        <v>1469435.3755579847</v>
      </c>
      <c r="M273" s="127">
        <f>+L271*'Sensitivity 2'!$D$3</f>
        <v>1377595.6645856106</v>
      </c>
      <c r="N273" s="127">
        <f>+M271*'Sensitivity 2'!$D$3</f>
        <v>1285755.9536132365</v>
      </c>
      <c r="O273" s="127">
        <f>+N271*'Sensitivity 2'!$D$3</f>
        <v>1193916.2426408622</v>
      </c>
      <c r="P273" s="127">
        <f>+O271*'Sensitivity 2'!$D$3</f>
        <v>1102076.5316684882</v>
      </c>
      <c r="Q273" s="127">
        <f>+P271*'Sensitivity 2'!$D$3</f>
        <v>1010236.8206961141</v>
      </c>
      <c r="R273" s="127">
        <f>+Q271*'Sensitivity 2'!$D$3</f>
        <v>918397.10972373991</v>
      </c>
      <c r="S273" s="127">
        <f>+R271*'Sensitivity 2'!$D$3</f>
        <v>826557.39875136595</v>
      </c>
      <c r="T273" s="127">
        <f>+S271*'Sensitivity 2'!$D$3</f>
        <v>734717.68777899188</v>
      </c>
      <c r="U273" s="127">
        <f>+T271*'Sensitivity 2'!$D$3</f>
        <v>642877.97680661781</v>
      </c>
      <c r="V273" s="127">
        <f>+U271*'Sensitivity 2'!$D$3</f>
        <v>551038.26583424385</v>
      </c>
      <c r="W273" s="127">
        <f>+V271*'Sensitivity 2'!$D$3</f>
        <v>459198.55486186978</v>
      </c>
      <c r="X273" s="127">
        <f>+W271*'Sensitivity 2'!$D$3</f>
        <v>367358.84388949577</v>
      </c>
      <c r="Y273" s="127">
        <f>+X271*'Sensitivity 2'!$D$3</f>
        <v>275519.13291712169</v>
      </c>
      <c r="Z273" s="127">
        <f>+Y271*'Sensitivity 2'!$D$3</f>
        <v>183679.42194474768</v>
      </c>
      <c r="AA273" s="127">
        <f>+Z271*'Sensitivity 2'!$D$3</f>
        <v>91839.71</v>
      </c>
    </row>
    <row r="274" spans="2:27" hidden="1" x14ac:dyDescent="0.35">
      <c r="B274" t="s">
        <v>147</v>
      </c>
      <c r="C274" s="127">
        <v>0</v>
      </c>
      <c r="D274" s="127">
        <v>0</v>
      </c>
      <c r="E274" s="127">
        <v>0</v>
      </c>
      <c r="F274" s="127">
        <v>0</v>
      </c>
      <c r="G274" s="127">
        <v>0</v>
      </c>
      <c r="H274" s="127">
        <f t="shared" ref="H274" si="654">+G271/20</f>
        <v>918397.10972374049</v>
      </c>
      <c r="I274" s="127">
        <f t="shared" ref="I274" si="655">+H274</f>
        <v>918397.10972374049</v>
      </c>
      <c r="J274" s="127">
        <f t="shared" ref="J274" si="656">+I274</f>
        <v>918397.10972374049</v>
      </c>
      <c r="K274" s="127">
        <f t="shared" ref="K274" si="657">+J274</f>
        <v>918397.10972374049</v>
      </c>
      <c r="L274" s="127">
        <f t="shared" ref="L274" si="658">+K274</f>
        <v>918397.10972374049</v>
      </c>
      <c r="M274" s="127">
        <f t="shared" ref="M274" si="659">+L274</f>
        <v>918397.10972374049</v>
      </c>
      <c r="N274" s="127">
        <f t="shared" ref="N274" si="660">+M274</f>
        <v>918397.10972374049</v>
      </c>
      <c r="O274" s="127">
        <f t="shared" ref="O274" si="661">+N274</f>
        <v>918397.10972374049</v>
      </c>
      <c r="P274" s="127">
        <f t="shared" ref="P274" si="662">+O274</f>
        <v>918397.10972374049</v>
      </c>
      <c r="Q274" s="127">
        <f t="shared" ref="Q274" si="663">+P274</f>
        <v>918397.10972374049</v>
      </c>
      <c r="R274" s="127">
        <f t="shared" ref="R274" si="664">+Q274</f>
        <v>918397.10972374049</v>
      </c>
      <c r="S274" s="127">
        <f t="shared" ref="S274" si="665">+R274</f>
        <v>918397.10972374049</v>
      </c>
      <c r="T274" s="127">
        <f t="shared" ref="T274" si="666">+S274</f>
        <v>918397.10972374049</v>
      </c>
      <c r="U274" s="127">
        <f t="shared" ref="U274" si="667">+T274</f>
        <v>918397.10972374049</v>
      </c>
      <c r="V274" s="127">
        <f t="shared" ref="V274" si="668">+U274</f>
        <v>918397.10972374049</v>
      </c>
      <c r="W274" s="127">
        <f t="shared" ref="W274" si="669">+V274</f>
        <v>918397.10972374049</v>
      </c>
      <c r="X274" s="127">
        <f t="shared" ref="X274" si="670">+W274</f>
        <v>918397.10972374049</v>
      </c>
      <c r="Y274" s="127">
        <f t="shared" ref="Y274" si="671">+X274</f>
        <v>918397.10972374049</v>
      </c>
      <c r="Z274" s="127">
        <f t="shared" ref="Z274" si="672">+Y274</f>
        <v>918397.10972374049</v>
      </c>
      <c r="AA274" s="127">
        <f t="shared" ref="AA274" si="673">+Z274</f>
        <v>918397.10972374049</v>
      </c>
    </row>
    <row r="275" spans="2:27" hidden="1" x14ac:dyDescent="0.35">
      <c r="B275" t="s">
        <v>141</v>
      </c>
      <c r="C275" s="127">
        <f t="shared" ref="C275:AA275" si="674">+C273+C274</f>
        <v>0</v>
      </c>
      <c r="D275" s="127">
        <f t="shared" si="674"/>
        <v>187500</v>
      </c>
      <c r="E275" s="127">
        <f t="shared" si="674"/>
        <v>434652.5</v>
      </c>
      <c r="F275" s="127">
        <f t="shared" si="674"/>
        <v>876876.58125000005</v>
      </c>
      <c r="G275" s="127">
        <f t="shared" si="674"/>
        <v>1443697.0012025</v>
      </c>
      <c r="H275" s="127">
        <f t="shared" si="674"/>
        <v>2755191.3291712217</v>
      </c>
      <c r="I275" s="127">
        <f t="shared" si="674"/>
        <v>2663351.6181988474</v>
      </c>
      <c r="J275" s="127">
        <f t="shared" si="674"/>
        <v>2571511.9072264731</v>
      </c>
      <c r="K275" s="127">
        <f t="shared" si="674"/>
        <v>2479672.1962540993</v>
      </c>
      <c r="L275" s="127">
        <f t="shared" si="674"/>
        <v>2387832.4852817254</v>
      </c>
      <c r="M275" s="127">
        <f t="shared" si="674"/>
        <v>2295992.7743093511</v>
      </c>
      <c r="N275" s="127">
        <f t="shared" si="674"/>
        <v>2204153.0633369768</v>
      </c>
      <c r="O275" s="127">
        <f t="shared" si="674"/>
        <v>2112313.3523646025</v>
      </c>
      <c r="P275" s="127">
        <f t="shared" si="674"/>
        <v>2020473.6413922287</v>
      </c>
      <c r="Q275" s="127">
        <f t="shared" si="674"/>
        <v>1928633.9304198546</v>
      </c>
      <c r="R275" s="127">
        <f t="shared" si="674"/>
        <v>1836794.2194474805</v>
      </c>
      <c r="S275" s="127">
        <f t="shared" si="674"/>
        <v>1744954.5084751064</v>
      </c>
      <c r="T275" s="127">
        <f t="shared" si="674"/>
        <v>1653114.7975027324</v>
      </c>
      <c r="U275" s="127">
        <f t="shared" si="674"/>
        <v>1561275.0865303583</v>
      </c>
      <c r="V275" s="127">
        <f t="shared" si="674"/>
        <v>1469435.3755579842</v>
      </c>
      <c r="W275" s="127">
        <f t="shared" si="674"/>
        <v>1377595.6645856104</v>
      </c>
      <c r="X275" s="127">
        <f t="shared" si="674"/>
        <v>1285755.9536132363</v>
      </c>
      <c r="Y275" s="127">
        <f t="shared" si="674"/>
        <v>1193916.2426408622</v>
      </c>
      <c r="Z275" s="127">
        <f t="shared" si="674"/>
        <v>1102076.5316684882</v>
      </c>
      <c r="AA275" s="127">
        <f t="shared" si="674"/>
        <v>1010236.8197237405</v>
      </c>
    </row>
    <row r="276" spans="2:27" hidden="1" x14ac:dyDescent="0.35"/>
    <row r="277" spans="2:27" hidden="1" x14ac:dyDescent="0.35"/>
    <row r="278" spans="2:27" hidden="1" x14ac:dyDescent="0.35"/>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04009-56DF-49FE-BAA8-AC7319047750}">
  <dimension ref="B1:J48"/>
  <sheetViews>
    <sheetView zoomScale="90" zoomScaleNormal="90" workbookViewId="0">
      <selection activeCell="A18" sqref="A18"/>
    </sheetView>
  </sheetViews>
  <sheetFormatPr defaultRowHeight="14.5" x14ac:dyDescent="0.35"/>
  <cols>
    <col min="2" max="2" width="14" bestFit="1" customWidth="1"/>
    <col min="3" max="3" width="10.90625" bestFit="1" customWidth="1"/>
    <col min="4" max="10" width="8.90625" customWidth="1"/>
  </cols>
  <sheetData>
    <row r="1" spans="2:10" ht="15.5" x14ac:dyDescent="0.45">
      <c r="B1" s="175" t="s">
        <v>202</v>
      </c>
      <c r="C1" s="176"/>
      <c r="D1" s="176"/>
      <c r="E1" s="176"/>
      <c r="F1" s="176"/>
      <c r="G1" s="176"/>
      <c r="H1" s="176"/>
      <c r="I1" s="176"/>
      <c r="J1" s="176"/>
    </row>
    <row r="2" spans="2:10" x14ac:dyDescent="0.35">
      <c r="B2" s="177" t="s">
        <v>74</v>
      </c>
      <c r="C2" s="177"/>
      <c r="D2" s="177"/>
      <c r="E2" s="177"/>
      <c r="F2" s="177"/>
      <c r="G2" s="178"/>
      <c r="H2" s="178"/>
      <c r="I2" s="178"/>
      <c r="J2" s="178"/>
    </row>
    <row r="3" spans="2:10" x14ac:dyDescent="0.35">
      <c r="B3" s="103">
        <f>'Sensitivity 2'!$D$15</f>
        <v>13519734.310923001</v>
      </c>
      <c r="C3" s="104">
        <v>0.1</v>
      </c>
      <c r="D3" s="104">
        <f t="shared" ref="D3:J3" si="0">C3+1%</f>
        <v>0.11</v>
      </c>
      <c r="E3" s="104">
        <f t="shared" si="0"/>
        <v>0.12</v>
      </c>
      <c r="F3" s="105">
        <f t="shared" si="0"/>
        <v>0.13</v>
      </c>
      <c r="G3" s="105">
        <f t="shared" si="0"/>
        <v>0.14000000000000001</v>
      </c>
      <c r="H3" s="105">
        <f t="shared" si="0"/>
        <v>0.15000000000000002</v>
      </c>
      <c r="I3" s="105">
        <f t="shared" si="0"/>
        <v>0.16000000000000003</v>
      </c>
      <c r="J3" s="105">
        <f t="shared" si="0"/>
        <v>0.17000000000000004</v>
      </c>
    </row>
    <row r="4" spans="2:10" x14ac:dyDescent="0.35">
      <c r="B4" s="106" t="s">
        <v>129</v>
      </c>
      <c r="C4" s="112">
        <v>13519734.310923001</v>
      </c>
      <c r="D4" s="76">
        <v>10457742.337686135</v>
      </c>
      <c r="E4" s="76">
        <v>7822221.6986957453</v>
      </c>
      <c r="F4" s="77">
        <v>5548701.3318713633</v>
      </c>
      <c r="G4" s="77">
        <v>3583453.0078839092</v>
      </c>
      <c r="H4" s="77">
        <v>1881549.7641513906</v>
      </c>
      <c r="I4" s="77">
        <v>405299.03845581831</v>
      </c>
      <c r="J4" s="77">
        <v>-877025.82760235388</v>
      </c>
    </row>
    <row r="6" spans="2:10" x14ac:dyDescent="0.35">
      <c r="B6" s="103">
        <f>'Sensitivity 2'!$D$18</f>
        <v>22276236.891201608</v>
      </c>
      <c r="C6" s="104">
        <v>0.1</v>
      </c>
      <c r="D6" s="104">
        <f t="shared" ref="D6:J6" si="1">C6+1%</f>
        <v>0.11</v>
      </c>
      <c r="E6" s="104">
        <f t="shared" si="1"/>
        <v>0.12</v>
      </c>
      <c r="F6" s="105">
        <f t="shared" si="1"/>
        <v>0.13</v>
      </c>
      <c r="G6" s="105">
        <f t="shared" si="1"/>
        <v>0.14000000000000001</v>
      </c>
      <c r="H6" s="105">
        <f t="shared" si="1"/>
        <v>0.15000000000000002</v>
      </c>
      <c r="I6" s="105">
        <f t="shared" si="1"/>
        <v>0.16000000000000003</v>
      </c>
      <c r="J6" s="105">
        <f t="shared" si="1"/>
        <v>0.17000000000000004</v>
      </c>
    </row>
    <row r="7" spans="2:10" x14ac:dyDescent="0.35">
      <c r="B7" s="107" t="s">
        <v>131</v>
      </c>
      <c r="C7" s="112">
        <v>22276236.891201608</v>
      </c>
      <c r="D7" s="76">
        <v>21326548.423075527</v>
      </c>
      <c r="E7" s="76">
        <v>20463648.655931</v>
      </c>
      <c r="F7" s="77">
        <v>19676307.690171339</v>
      </c>
      <c r="G7" s="77">
        <v>18955037.093625508</v>
      </c>
      <c r="H7" s="77">
        <v>18291788.558809556</v>
      </c>
      <c r="I7" s="77">
        <v>17679708.925521553</v>
      </c>
      <c r="J7" s="77">
        <v>17112940.359882414</v>
      </c>
    </row>
    <row r="9" spans="2:10" x14ac:dyDescent="0.35">
      <c r="B9" s="103">
        <f>'Sensitivity 2'!$D$19</f>
        <v>35795971.202124618</v>
      </c>
      <c r="C9" s="104">
        <v>0.1</v>
      </c>
      <c r="D9" s="104">
        <f t="shared" ref="D9:J9" si="2">C9+1%</f>
        <v>0.11</v>
      </c>
      <c r="E9" s="104">
        <f t="shared" si="2"/>
        <v>0.12</v>
      </c>
      <c r="F9" s="105">
        <f t="shared" si="2"/>
        <v>0.13</v>
      </c>
      <c r="G9" s="105">
        <f t="shared" si="2"/>
        <v>0.14000000000000001</v>
      </c>
      <c r="H9" s="105">
        <f t="shared" si="2"/>
        <v>0.15000000000000002</v>
      </c>
      <c r="I9" s="105">
        <f t="shared" si="2"/>
        <v>0.16000000000000003</v>
      </c>
      <c r="J9" s="105">
        <f t="shared" si="2"/>
        <v>0.17000000000000004</v>
      </c>
    </row>
    <row r="10" spans="2:10" x14ac:dyDescent="0.35">
      <c r="B10" s="106" t="s">
        <v>130</v>
      </c>
      <c r="C10" s="112">
        <v>35795971.202124618</v>
      </c>
      <c r="D10" s="76">
        <v>31784290.760761656</v>
      </c>
      <c r="E10" s="76">
        <v>28285870.354626738</v>
      </c>
      <c r="F10" s="77">
        <v>25225009.022042707</v>
      </c>
      <c r="G10" s="77">
        <v>22538490.101509415</v>
      </c>
      <c r="H10" s="77">
        <v>20173338.32296095</v>
      </c>
      <c r="I10" s="77">
        <v>18085007.963977378</v>
      </c>
      <c r="J10" s="77">
        <v>16235914.532280065</v>
      </c>
    </row>
    <row r="12" spans="2:10" x14ac:dyDescent="0.35">
      <c r="B12" s="3" t="s">
        <v>128</v>
      </c>
    </row>
    <row r="13" spans="2:10" x14ac:dyDescent="0.35">
      <c r="B13" s="177" t="s">
        <v>132</v>
      </c>
      <c r="C13" s="177"/>
      <c r="D13" s="177"/>
      <c r="E13" s="177"/>
      <c r="F13" s="177"/>
      <c r="G13" s="178"/>
      <c r="H13" s="178"/>
      <c r="I13" s="178"/>
      <c r="J13" s="178"/>
    </row>
    <row r="14" spans="2:10" x14ac:dyDescent="0.35">
      <c r="B14" s="103">
        <f>'Sensitivity 2'!$D$15</f>
        <v>13519734.310923001</v>
      </c>
      <c r="C14" s="108">
        <v>0.7</v>
      </c>
      <c r="D14" s="108">
        <v>0.75</v>
      </c>
      <c r="E14" s="108">
        <v>0.8</v>
      </c>
      <c r="F14" s="109">
        <v>0.86</v>
      </c>
      <c r="G14" s="109">
        <v>0.9</v>
      </c>
      <c r="H14" s="109">
        <v>0.95</v>
      </c>
      <c r="I14" s="109">
        <v>1</v>
      </c>
      <c r="J14" s="109">
        <v>1.05</v>
      </c>
    </row>
    <row r="15" spans="2:10" x14ac:dyDescent="0.35">
      <c r="B15" s="106" t="s">
        <v>129</v>
      </c>
      <c r="C15" s="76">
        <v>14803999.023852846</v>
      </c>
      <c r="D15" s="76">
        <v>14402666.301062269</v>
      </c>
      <c r="E15" s="76">
        <v>14001333.578271693</v>
      </c>
      <c r="F15" s="113">
        <v>13519734.310923001</v>
      </c>
      <c r="G15" s="77">
        <v>13198668.132690536</v>
      </c>
      <c r="H15" s="77">
        <v>12797335.409899963</v>
      </c>
      <c r="I15" s="77">
        <v>12396002.687109387</v>
      </c>
      <c r="J15" s="77">
        <v>11994669.964318808</v>
      </c>
    </row>
    <row r="17" spans="2:10" x14ac:dyDescent="0.35">
      <c r="B17" s="103">
        <f>'Sensitivity 2'!$D$18</f>
        <v>22276236.891201608</v>
      </c>
      <c r="C17" s="108">
        <v>0.7</v>
      </c>
      <c r="D17" s="108">
        <v>0.75</v>
      </c>
      <c r="E17" s="108">
        <v>0.8</v>
      </c>
      <c r="F17" s="109">
        <v>0.86</v>
      </c>
      <c r="G17" s="109">
        <v>0.9</v>
      </c>
      <c r="H17" s="109">
        <v>0.95</v>
      </c>
      <c r="I17" s="109">
        <v>1</v>
      </c>
      <c r="J17" s="109">
        <v>1.05</v>
      </c>
    </row>
    <row r="18" spans="2:10" x14ac:dyDescent="0.35">
      <c r="B18" s="107" t="s">
        <v>131</v>
      </c>
      <c r="C18" s="76">
        <v>21732595.923905075</v>
      </c>
      <c r="D18" s="76">
        <v>21902483.726185244</v>
      </c>
      <c r="E18" s="76">
        <v>22072371.528465413</v>
      </c>
      <c r="F18" s="113">
        <v>22276236.891201608</v>
      </c>
      <c r="G18" s="77">
        <v>22412147.133025747</v>
      </c>
      <c r="H18" s="77">
        <v>22582034.935305905</v>
      </c>
      <c r="I18" s="77">
        <v>22751922.737586074</v>
      </c>
      <c r="J18" s="77">
        <v>22921810.539866239</v>
      </c>
    </row>
    <row r="20" spans="2:10" x14ac:dyDescent="0.35">
      <c r="B20" s="103">
        <f>'Sensitivity 2'!$D$19</f>
        <v>35795971.202124618</v>
      </c>
      <c r="C20" s="108">
        <v>0.7</v>
      </c>
      <c r="D20" s="108">
        <v>0.75</v>
      </c>
      <c r="E20" s="108">
        <v>0.8</v>
      </c>
      <c r="F20" s="109">
        <v>0.86</v>
      </c>
      <c r="G20" s="109">
        <v>0.9</v>
      </c>
      <c r="H20" s="109">
        <v>0.95</v>
      </c>
      <c r="I20" s="109">
        <v>1</v>
      </c>
      <c r="J20" s="109">
        <v>1.05</v>
      </c>
    </row>
    <row r="21" spans="2:10" x14ac:dyDescent="0.35">
      <c r="B21" s="106" t="s">
        <v>130</v>
      </c>
      <c r="C21" s="76">
        <v>36536594.947757937</v>
      </c>
      <c r="D21" s="76">
        <v>36305150.027247518</v>
      </c>
      <c r="E21" s="76">
        <v>36073705.1067371</v>
      </c>
      <c r="F21" s="113">
        <v>35795971.202124618</v>
      </c>
      <c r="G21" s="77">
        <v>35610815.265716292</v>
      </c>
      <c r="H21" s="77">
        <v>35379370.345205873</v>
      </c>
      <c r="I21" s="77">
        <v>35147925.424695447</v>
      </c>
      <c r="J21" s="77">
        <v>34916480.504185043</v>
      </c>
    </row>
    <row r="23" spans="2:10" x14ac:dyDescent="0.35">
      <c r="B23" s="3" t="s">
        <v>128</v>
      </c>
    </row>
    <row r="24" spans="2:10" x14ac:dyDescent="0.35">
      <c r="B24" s="177" t="s">
        <v>134</v>
      </c>
      <c r="C24" s="177"/>
      <c r="D24" s="177"/>
      <c r="E24" s="177"/>
      <c r="F24" s="177"/>
      <c r="G24" s="178"/>
      <c r="H24" s="178"/>
      <c r="I24" s="178"/>
      <c r="J24" s="178"/>
    </row>
    <row r="25" spans="2:10" x14ac:dyDescent="0.35">
      <c r="B25" s="103">
        <f>'Sensitivity 2'!$D$15</f>
        <v>13519734.310923001</v>
      </c>
      <c r="C25" s="110">
        <f t="shared" ref="C25:J25" si="3">+C28</f>
        <v>2000</v>
      </c>
      <c r="D25" s="110">
        <f t="shared" si="3"/>
        <v>4000</v>
      </c>
      <c r="E25" s="110">
        <f t="shared" si="3"/>
        <v>6000</v>
      </c>
      <c r="F25" s="111">
        <f t="shared" si="3"/>
        <v>8000</v>
      </c>
      <c r="G25" s="111">
        <f t="shared" si="3"/>
        <v>10000</v>
      </c>
      <c r="H25" s="111">
        <f t="shared" si="3"/>
        <v>12000</v>
      </c>
      <c r="I25" s="111">
        <f t="shared" si="3"/>
        <v>14000</v>
      </c>
      <c r="J25" s="111">
        <f t="shared" si="3"/>
        <v>16000</v>
      </c>
    </row>
    <row r="26" spans="2:10" x14ac:dyDescent="0.35">
      <c r="B26" s="106" t="s">
        <v>129</v>
      </c>
      <c r="C26" s="76">
        <v>15319486.567587093</v>
      </c>
      <c r="D26" s="76">
        <v>14719569.14869906</v>
      </c>
      <c r="E26" s="76">
        <v>14119651.72981103</v>
      </c>
      <c r="F26" s="113">
        <v>13519734.310923001</v>
      </c>
      <c r="G26" s="77">
        <v>12919816.892034966</v>
      </c>
      <c r="H26" s="77">
        <v>12319899.473146936</v>
      </c>
      <c r="I26" s="77">
        <v>11719982.054258909</v>
      </c>
      <c r="J26" s="77">
        <v>11120064.635370877</v>
      </c>
    </row>
    <row r="28" spans="2:10" x14ac:dyDescent="0.35">
      <c r="B28" s="103">
        <f>'Sensitivity 2'!$D$18</f>
        <v>22276236.891201608</v>
      </c>
      <c r="C28" s="110">
        <f>D28-2000</f>
        <v>2000</v>
      </c>
      <c r="D28" s="110">
        <f>E28-2000</f>
        <v>4000</v>
      </c>
      <c r="E28" s="110">
        <f>F28-2000</f>
        <v>6000</v>
      </c>
      <c r="F28" s="111">
        <v>8000</v>
      </c>
      <c r="G28" s="111">
        <f>F28+2000</f>
        <v>10000</v>
      </c>
      <c r="H28" s="111">
        <f>G28+2000</f>
        <v>12000</v>
      </c>
      <c r="I28" s="111">
        <f>H28+2000</f>
        <v>14000</v>
      </c>
      <c r="J28" s="111">
        <f>I28+2000</f>
        <v>16000</v>
      </c>
    </row>
    <row r="29" spans="2:10" x14ac:dyDescent="0.35">
      <c r="B29" s="107" t="s">
        <v>131</v>
      </c>
      <c r="C29" s="76">
        <v>20476484.634537518</v>
      </c>
      <c r="D29" s="76">
        <v>21076402.053425547</v>
      </c>
      <c r="E29" s="76">
        <v>21676319.472313583</v>
      </c>
      <c r="F29" s="113">
        <v>22276236.891201608</v>
      </c>
      <c r="G29" s="77">
        <v>22876154.310089637</v>
      </c>
      <c r="H29" s="77">
        <v>23476071.728977669</v>
      </c>
      <c r="I29" s="77">
        <v>24075989.147865694</v>
      </c>
      <c r="J29" s="77">
        <v>24675906.56675373</v>
      </c>
    </row>
    <row r="31" spans="2:10" x14ac:dyDescent="0.35">
      <c r="B31" s="103">
        <f>'Sensitivity 2'!$D$19</f>
        <v>35795971.202124618</v>
      </c>
      <c r="C31" s="110">
        <f t="shared" ref="C31:J31" si="4">+C28</f>
        <v>2000</v>
      </c>
      <c r="D31" s="110">
        <f t="shared" si="4"/>
        <v>4000</v>
      </c>
      <c r="E31" s="110">
        <f t="shared" si="4"/>
        <v>6000</v>
      </c>
      <c r="F31" s="111">
        <f t="shared" si="4"/>
        <v>8000</v>
      </c>
      <c r="G31" s="111">
        <f t="shared" si="4"/>
        <v>10000</v>
      </c>
      <c r="H31" s="111">
        <f t="shared" si="4"/>
        <v>12000</v>
      </c>
      <c r="I31" s="111">
        <f t="shared" si="4"/>
        <v>14000</v>
      </c>
      <c r="J31" s="111">
        <f t="shared" si="4"/>
        <v>16000</v>
      </c>
    </row>
    <row r="32" spans="2:10" x14ac:dyDescent="0.35">
      <c r="B32" s="106" t="s">
        <v>130</v>
      </c>
      <c r="C32" s="76">
        <v>35795971.202124618</v>
      </c>
      <c r="D32" s="76">
        <v>35795971.202124618</v>
      </c>
      <c r="E32" s="76">
        <v>35795971.202124618</v>
      </c>
      <c r="F32" s="113">
        <v>35795971.202124618</v>
      </c>
      <c r="G32" s="77">
        <v>35795971.202124618</v>
      </c>
      <c r="H32" s="77">
        <v>35795971.202124618</v>
      </c>
      <c r="I32" s="77">
        <v>35795971.202124618</v>
      </c>
      <c r="J32" s="77">
        <v>35795971.202124618</v>
      </c>
    </row>
    <row r="34" spans="2:10" x14ac:dyDescent="0.35">
      <c r="B34" s="3" t="s">
        <v>128</v>
      </c>
    </row>
    <row r="35" spans="2:10" x14ac:dyDescent="0.35">
      <c r="B35" s="177" t="s">
        <v>135</v>
      </c>
      <c r="C35" s="177"/>
      <c r="D35" s="177"/>
      <c r="E35" s="177"/>
      <c r="F35" s="177"/>
      <c r="G35" s="178"/>
      <c r="H35" s="178"/>
      <c r="I35" s="178"/>
      <c r="J35" s="178"/>
    </row>
    <row r="36" spans="2:10" x14ac:dyDescent="0.35">
      <c r="B36" s="103">
        <f>'Sensitivity 2'!$D$18</f>
        <v>22276236.891201608</v>
      </c>
      <c r="C36" s="104">
        <f>D36-0.1</f>
        <v>0.20000000000000004</v>
      </c>
      <c r="D36" s="104">
        <f>E36-0.1</f>
        <v>0.30000000000000004</v>
      </c>
      <c r="E36" s="104">
        <f>F36-0.1</f>
        <v>0.4</v>
      </c>
      <c r="F36" s="105">
        <v>0.5</v>
      </c>
      <c r="G36" s="105">
        <f>F36+0.1</f>
        <v>0.6</v>
      </c>
      <c r="H36" s="105">
        <f>G36+0.1</f>
        <v>0.7</v>
      </c>
      <c r="I36" s="105">
        <f>H36+0.1</f>
        <v>0.79999999999999993</v>
      </c>
      <c r="J36" s="105">
        <f>I36+0.1</f>
        <v>0.89999999999999991</v>
      </c>
    </row>
    <row r="37" spans="2:10" x14ac:dyDescent="0.35">
      <c r="B37" s="107" t="s">
        <v>131</v>
      </c>
      <c r="C37" s="76">
        <v>20522994.771670312</v>
      </c>
      <c r="D37" s="76">
        <v>21107408.811514076</v>
      </c>
      <c r="E37" s="76">
        <v>21691822.85135784</v>
      </c>
      <c r="F37" s="113">
        <v>22276236.891201608</v>
      </c>
      <c r="G37" s="77">
        <v>22860650.931045379</v>
      </c>
      <c r="H37" s="77">
        <v>23445064.970889147</v>
      </c>
      <c r="I37" s="77">
        <v>24029479.010732912</v>
      </c>
      <c r="J37" s="77">
        <v>24613893.050576679</v>
      </c>
    </row>
    <row r="39" spans="2:10" x14ac:dyDescent="0.35">
      <c r="B39" s="3" t="s">
        <v>128</v>
      </c>
    </row>
    <row r="40" spans="2:10" x14ac:dyDescent="0.35">
      <c r="B40" s="177" t="s">
        <v>143</v>
      </c>
      <c r="C40" s="177"/>
      <c r="D40" s="177"/>
      <c r="E40" s="177"/>
      <c r="F40" s="177"/>
      <c r="G40" s="178"/>
      <c r="H40" s="178"/>
      <c r="I40" s="178"/>
      <c r="J40" s="178"/>
    </row>
    <row r="41" spans="2:10" x14ac:dyDescent="0.35">
      <c r="B41" s="103">
        <f>'Sensitivity 2'!$D$15</f>
        <v>13519734.310923001</v>
      </c>
      <c r="C41" s="110">
        <f t="shared" ref="C41:J41" si="5">+C44</f>
        <v>50</v>
      </c>
      <c r="D41" s="110">
        <f t="shared" si="5"/>
        <v>250</v>
      </c>
      <c r="E41" s="110">
        <f t="shared" si="5"/>
        <v>450</v>
      </c>
      <c r="F41" s="111">
        <f t="shared" si="5"/>
        <v>650</v>
      </c>
      <c r="G41" s="111">
        <f t="shared" si="5"/>
        <v>850</v>
      </c>
      <c r="H41" s="111">
        <f t="shared" si="5"/>
        <v>1050</v>
      </c>
      <c r="I41" s="111">
        <f t="shared" si="5"/>
        <v>1250</v>
      </c>
      <c r="J41" s="111">
        <f t="shared" si="5"/>
        <v>1450</v>
      </c>
    </row>
    <row r="42" spans="2:10" x14ac:dyDescent="0.35">
      <c r="B42" s="106" t="s">
        <v>129</v>
      </c>
      <c r="C42" s="76">
        <v>23629347.057550743</v>
      </c>
      <c r="D42" s="76">
        <v>23494101.402077463</v>
      </c>
      <c r="E42" s="76">
        <v>23358855.746604186</v>
      </c>
      <c r="F42" s="113">
        <v>23223610.091130901</v>
      </c>
      <c r="G42" s="77">
        <v>23088364.435657624</v>
      </c>
      <c r="H42" s="77">
        <v>22953118.780184343</v>
      </c>
      <c r="I42" s="77">
        <v>22817873.124711066</v>
      </c>
      <c r="J42" s="77">
        <v>22682627.469237778</v>
      </c>
    </row>
    <row r="44" spans="2:10" x14ac:dyDescent="0.35">
      <c r="B44" s="103">
        <f>'Sensitivity 2'!$D$18</f>
        <v>22276236.891201608</v>
      </c>
      <c r="C44" s="110">
        <f>D44-200</f>
        <v>50</v>
      </c>
      <c r="D44" s="110">
        <f>E44-200</f>
        <v>250</v>
      </c>
      <c r="E44" s="110">
        <f>F44-200</f>
        <v>450</v>
      </c>
      <c r="F44" s="111">
        <v>650</v>
      </c>
      <c r="G44" s="111">
        <f>F44+200</f>
        <v>850</v>
      </c>
      <c r="H44" s="111">
        <f>G44+200</f>
        <v>1050</v>
      </c>
      <c r="I44" s="111">
        <f>H44+200</f>
        <v>1250</v>
      </c>
      <c r="J44" s="111">
        <f>I44+200</f>
        <v>1450</v>
      </c>
    </row>
    <row r="45" spans="2:10" x14ac:dyDescent="0.35">
      <c r="B45" s="107" t="s">
        <v>131</v>
      </c>
      <c r="C45" s="76">
        <v>12913076.127666775</v>
      </c>
      <c r="D45" s="76">
        <v>16034129.715511724</v>
      </c>
      <c r="E45" s="76">
        <v>19155183.303356659</v>
      </c>
      <c r="F45" s="113">
        <v>22276236.891201608</v>
      </c>
      <c r="G45" s="77">
        <v>25397290.479046553</v>
      </c>
      <c r="H45" s="77">
        <v>28518344.066891491</v>
      </c>
      <c r="I45" s="77">
        <v>31639397.654736433</v>
      </c>
      <c r="J45" s="77">
        <v>34760451.242581382</v>
      </c>
    </row>
    <row r="47" spans="2:10" x14ac:dyDescent="0.35">
      <c r="B47" s="103">
        <f>'Sensitivity 2'!$D$19</f>
        <v>35795971.202124618</v>
      </c>
      <c r="C47" s="110">
        <f t="shared" ref="C47:J47" si="6">+C44</f>
        <v>50</v>
      </c>
      <c r="D47" s="110">
        <f t="shared" si="6"/>
        <v>250</v>
      </c>
      <c r="E47" s="110">
        <f t="shared" si="6"/>
        <v>450</v>
      </c>
      <c r="F47" s="111">
        <f t="shared" si="6"/>
        <v>650</v>
      </c>
      <c r="G47" s="111">
        <f t="shared" si="6"/>
        <v>850</v>
      </c>
      <c r="H47" s="111">
        <f t="shared" si="6"/>
        <v>1050</v>
      </c>
      <c r="I47" s="111">
        <f t="shared" si="6"/>
        <v>1250</v>
      </c>
      <c r="J47" s="111">
        <f t="shared" si="6"/>
        <v>1450</v>
      </c>
    </row>
    <row r="48" spans="2:10" x14ac:dyDescent="0.35">
      <c r="B48" s="106" t="s">
        <v>130</v>
      </c>
      <c r="C48" s="76">
        <v>35795971.202124618</v>
      </c>
      <c r="D48" s="76">
        <v>35795971.202124618</v>
      </c>
      <c r="E48" s="76">
        <v>35795971.202124618</v>
      </c>
      <c r="F48" s="113">
        <v>35795971.202124618</v>
      </c>
      <c r="G48" s="77">
        <v>35795971.202124618</v>
      </c>
      <c r="H48" s="77">
        <v>35795971.202124618</v>
      </c>
      <c r="I48" s="77">
        <v>35795971.202124618</v>
      </c>
      <c r="J48" s="77">
        <v>35795971.202124618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EC4D7-03C1-4385-9A57-1B2C0FE35D8C}">
  <dimension ref="A1:BC97"/>
  <sheetViews>
    <sheetView showGridLines="0" zoomScale="70" zoomScaleNormal="70" workbookViewId="0">
      <selection activeCell="E26" sqref="E26"/>
    </sheetView>
  </sheetViews>
  <sheetFormatPr defaultRowHeight="14" x14ac:dyDescent="0.3"/>
  <cols>
    <col min="1" max="1" width="2.36328125" style="134" customWidth="1"/>
    <col min="2" max="2" width="34.54296875" style="134" customWidth="1"/>
    <col min="3" max="3" width="12.453125" style="134" customWidth="1"/>
    <col min="4" max="4" width="8.54296875" style="134" bestFit="1" customWidth="1"/>
    <col min="5" max="5" width="8.54296875" style="134" customWidth="1"/>
    <col min="6" max="6" width="11.54296875" style="134" customWidth="1"/>
    <col min="7" max="7" width="10.6328125" style="134" customWidth="1"/>
    <col min="8" max="8" width="7.6328125" style="134" customWidth="1"/>
    <col min="9" max="9" width="9.1796875" style="134" customWidth="1"/>
    <col min="10" max="10" width="10.1796875" style="134" customWidth="1"/>
    <col min="11" max="11" width="3.6328125" style="134" customWidth="1"/>
    <col min="12" max="12" width="14" style="134" hidden="1" customWidth="1"/>
    <col min="13" max="13" width="10.90625" style="134" hidden="1" customWidth="1"/>
    <col min="14" max="20" width="8.90625" style="134" hidden="1" customWidth="1"/>
    <col min="21" max="37" width="8.7265625" style="134"/>
    <col min="38" max="46" width="8.7265625" style="134" customWidth="1"/>
    <col min="47" max="47" width="8.7265625" style="134"/>
    <col min="48" max="48" width="10.453125" style="134" customWidth="1"/>
    <col min="49" max="49" width="8.54296875" style="134" bestFit="1" customWidth="1"/>
    <col min="50" max="50" width="13.6328125" style="134" bestFit="1" customWidth="1"/>
    <col min="51" max="51" width="14.453125" style="134" bestFit="1" customWidth="1"/>
    <col min="52" max="52" width="13" style="134" bestFit="1" customWidth="1"/>
    <col min="53" max="53" width="13.453125" style="134" bestFit="1" customWidth="1"/>
    <col min="54" max="54" width="13.36328125" style="134" bestFit="1" customWidth="1"/>
    <col min="55" max="16384" width="8.7265625" style="134"/>
  </cols>
  <sheetData>
    <row r="1" spans="1:55" ht="14.5" customHeight="1" x14ac:dyDescent="0.3">
      <c r="D1" s="192" t="s">
        <v>136</v>
      </c>
      <c r="E1" s="135" t="s">
        <v>197</v>
      </c>
      <c r="F1" s="135" t="s">
        <v>198</v>
      </c>
      <c r="G1" s="135" t="s">
        <v>199</v>
      </c>
      <c r="H1" s="135" t="s">
        <v>200</v>
      </c>
      <c r="I1" s="135" t="s">
        <v>201</v>
      </c>
      <c r="J1" s="194" t="s">
        <v>158</v>
      </c>
      <c r="L1" s="136" t="s">
        <v>140</v>
      </c>
      <c r="U1" s="190"/>
      <c r="V1" s="191"/>
      <c r="W1" s="191"/>
      <c r="X1" s="191"/>
      <c r="Y1" s="191"/>
      <c r="Z1" s="196" t="s">
        <v>203</v>
      </c>
      <c r="AA1" s="196"/>
      <c r="AB1" s="196"/>
      <c r="AC1" s="196"/>
      <c r="AD1" s="196"/>
      <c r="AE1" s="196"/>
      <c r="AF1" s="190"/>
      <c r="AG1" s="190"/>
      <c r="AH1" s="190"/>
      <c r="AI1" s="190"/>
      <c r="AJ1" s="190"/>
      <c r="AV1" s="136" t="s">
        <v>151</v>
      </c>
    </row>
    <row r="2" spans="1:55" ht="28" x14ac:dyDescent="0.3">
      <c r="A2" s="137" t="s">
        <v>85</v>
      </c>
      <c r="B2" s="138"/>
      <c r="C2" s="139" t="s">
        <v>6</v>
      </c>
      <c r="D2" s="193"/>
      <c r="E2" s="140" t="s">
        <v>159</v>
      </c>
      <c r="F2" s="140" t="s">
        <v>153</v>
      </c>
      <c r="G2" s="140" t="s">
        <v>161</v>
      </c>
      <c r="H2" s="140" t="s">
        <v>154</v>
      </c>
      <c r="I2" s="140" t="s">
        <v>157</v>
      </c>
      <c r="J2" s="195"/>
      <c r="L2" s="141" t="s">
        <v>74</v>
      </c>
      <c r="M2" s="141"/>
      <c r="N2" s="141"/>
      <c r="O2" s="141"/>
      <c r="P2" s="141"/>
      <c r="Q2" s="142"/>
      <c r="R2" s="142"/>
      <c r="S2" s="142"/>
      <c r="T2" s="142"/>
      <c r="U2" s="190"/>
      <c r="V2" s="191"/>
      <c r="W2" s="191"/>
      <c r="X2" s="191"/>
      <c r="Y2" s="191"/>
      <c r="Z2" s="196"/>
      <c r="AA2" s="196"/>
      <c r="AB2" s="196"/>
      <c r="AC2" s="196"/>
      <c r="AD2" s="196"/>
      <c r="AE2" s="196"/>
      <c r="AF2" s="190"/>
      <c r="AG2" s="190"/>
      <c r="AH2" s="190"/>
      <c r="AI2" s="190"/>
      <c r="AJ2" s="190"/>
      <c r="AV2" s="143" t="s">
        <v>152</v>
      </c>
      <c r="AW2" s="143"/>
      <c r="AX2" s="143"/>
      <c r="AY2" s="143"/>
      <c r="AZ2" s="143"/>
      <c r="BA2" s="135"/>
      <c r="BB2" s="143"/>
      <c r="BC2" s="143"/>
    </row>
    <row r="3" spans="1:55" x14ac:dyDescent="0.3">
      <c r="B3" s="144" t="s">
        <v>81</v>
      </c>
      <c r="C3" s="145"/>
      <c r="D3" s="179">
        <v>0.1</v>
      </c>
      <c r="E3" s="146"/>
      <c r="F3" s="146"/>
      <c r="G3" s="146"/>
      <c r="H3" s="146"/>
      <c r="I3" s="146"/>
      <c r="J3" s="146"/>
      <c r="L3" s="147">
        <f>D15</f>
        <v>13519734.310923001</v>
      </c>
      <c r="M3" s="148">
        <v>0.1</v>
      </c>
      <c r="N3" s="148">
        <f t="shared" ref="N3:T3" si="0">M3+1%</f>
        <v>0.11</v>
      </c>
      <c r="O3" s="148">
        <f t="shared" si="0"/>
        <v>0.12</v>
      </c>
      <c r="P3" s="149">
        <f t="shared" si="0"/>
        <v>0.13</v>
      </c>
      <c r="Q3" s="149">
        <f t="shared" si="0"/>
        <v>0.14000000000000001</v>
      </c>
      <c r="R3" s="149">
        <f t="shared" si="0"/>
        <v>0.15000000000000002</v>
      </c>
      <c r="S3" s="149">
        <f t="shared" si="0"/>
        <v>0.16000000000000003</v>
      </c>
      <c r="T3" s="149">
        <f t="shared" si="0"/>
        <v>0.17000000000000004</v>
      </c>
      <c r="AV3" s="150">
        <f>+SUM('Government Impact_baseline'!C32:AA32)</f>
        <v>-63291966.563867465</v>
      </c>
      <c r="AW3" s="135" t="s">
        <v>136</v>
      </c>
      <c r="AX3" s="135" t="s">
        <v>159</v>
      </c>
      <c r="AY3" s="135" t="s">
        <v>153</v>
      </c>
      <c r="AZ3" s="135" t="s">
        <v>155</v>
      </c>
      <c r="BA3" s="135" t="s">
        <v>154</v>
      </c>
      <c r="BB3" s="135" t="s">
        <v>156</v>
      </c>
      <c r="BC3" s="135" t="s">
        <v>158</v>
      </c>
    </row>
    <row r="4" spans="1:55" x14ac:dyDescent="0.3">
      <c r="B4" s="144" t="s">
        <v>118</v>
      </c>
      <c r="C4" s="145"/>
      <c r="D4" s="179">
        <v>0.05</v>
      </c>
      <c r="E4" s="146"/>
      <c r="F4" s="146"/>
      <c r="G4" s="146"/>
      <c r="H4" s="146"/>
      <c r="I4" s="146"/>
      <c r="J4" s="146"/>
      <c r="L4" s="151" t="s">
        <v>129</v>
      </c>
      <c r="M4" s="152">
        <f t="dataTable" ref="M4:T4" dt2D="1" dtr="1" r1="D3" r2="M1" ca="1"/>
        <v>13519734.310923001</v>
      </c>
      <c r="N4" s="153">
        <v>10457742.337686135</v>
      </c>
      <c r="O4" s="153">
        <v>7822221.6986957453</v>
      </c>
      <c r="P4" s="154">
        <v>5548701.3318713633</v>
      </c>
      <c r="Q4" s="154">
        <v>3583453.0078839092</v>
      </c>
      <c r="R4" s="154">
        <v>1881549.7641513906</v>
      </c>
      <c r="S4" s="154">
        <v>405299.03845581831</v>
      </c>
      <c r="T4" s="154">
        <v>-877025.82760235388</v>
      </c>
      <c r="AV4" s="155">
        <v>0</v>
      </c>
      <c r="AW4" s="150">
        <f ca="1">OFFSET('Government Impact_baseline'!$C$32,'Sensitivity 2'!$AV$4,'Sensitivity 2'!AV4)</f>
        <v>-1875000</v>
      </c>
      <c r="AX4" s="150">
        <f ca="1">OFFSET('Government Impact_baseline'!$C$72,'Sensitivity 2'!$AV$4,'Sensitivity 2'!AV4)</f>
        <v>-1875000</v>
      </c>
      <c r="AY4" s="150">
        <f ca="1">OFFSET('Government Impact_baseline'!$C$112,'Sensitivity 2'!$AV$4,'Sensitivity 2'!AV4)</f>
        <v>-1875000</v>
      </c>
      <c r="AZ4" s="150">
        <f ca="1">OFFSET('Government Impact_baseline'!$C$151,'Sensitivity 2'!$AV$4,'Sensitivity 2'!AV4)</f>
        <v>-1875000</v>
      </c>
      <c r="BA4" s="150">
        <f ca="1">OFFSET('Government Impact_baseline'!$C$190,'Sensitivity 2'!$AV$4,'Sensitivity 2'!AV4)</f>
        <v>-1875000</v>
      </c>
      <c r="BB4" s="150">
        <f ca="1">OFFSET('Government Impact_baseline'!$C$229,'Sensitivity 2'!$AV$4,'Sensitivity 2'!AV4)</f>
        <v>-1875000</v>
      </c>
      <c r="BC4" s="150">
        <f ca="1">OFFSET('Government Impact_baseline'!$C$268,'Sensitivity 2'!$AV$4,'Sensitivity 2'!AV4)</f>
        <v>-1875000</v>
      </c>
    </row>
    <row r="5" spans="1:55" x14ac:dyDescent="0.3">
      <c r="B5" s="144" t="s">
        <v>149</v>
      </c>
      <c r="C5" s="145"/>
      <c r="D5" s="179">
        <v>1.4999999999999999E-2</v>
      </c>
      <c r="E5" s="170"/>
      <c r="F5" s="170"/>
      <c r="G5" s="170"/>
      <c r="H5" s="170"/>
      <c r="I5" s="170"/>
      <c r="J5" s="170"/>
      <c r="K5" s="156"/>
      <c r="AV5" s="155">
        <v>1</v>
      </c>
      <c r="AW5" s="150">
        <f ca="1">OFFSET('Government Impact_baseline'!$C$32,'Sensitivity 2'!$AV$4,'Sensitivity 2'!AV5)</f>
        <v>-2659024.9999999995</v>
      </c>
      <c r="AX5" s="150">
        <f ca="1">OFFSET('Government Impact_baseline'!$C$72,'Sensitivity 2'!$AV$4,'Sensitivity 2'!AV5)</f>
        <v>-2659024.9999999995</v>
      </c>
      <c r="AY5" s="150">
        <f ca="1">OFFSET('Government Impact_baseline'!$C$112,'Sensitivity 2'!$AV$4,'Sensitivity 2'!AV5)</f>
        <v>-2659024.9999999995</v>
      </c>
      <c r="AZ5" s="150">
        <f ca="1">OFFSET('Government Impact_baseline'!$C$151,'Sensitivity 2'!$AV$4,'Sensitivity 2'!AV5)</f>
        <v>-2659024.9999999995</v>
      </c>
      <c r="BA5" s="150">
        <f ca="1">OFFSET('Government Impact_baseline'!$C$190,'Sensitivity 2'!$AV$4,'Sensitivity 2'!AV5)</f>
        <v>-2659024.9999999995</v>
      </c>
      <c r="BB5" s="150">
        <f ca="1">OFFSET('Government Impact_baseline'!$C$229,'Sensitivity 2'!$AV$4,'Sensitivity 2'!AV5)</f>
        <v>-2659024.9999999995</v>
      </c>
      <c r="BC5" s="150">
        <f ca="1">OFFSET('Government Impact_baseline'!$C$268,'Sensitivity 2'!$AV$4,'Sensitivity 2'!AV5)</f>
        <v>-2659024.9999999995</v>
      </c>
    </row>
    <row r="6" spans="1:55" x14ac:dyDescent="0.3">
      <c r="B6" s="134" t="s">
        <v>69</v>
      </c>
      <c r="C6" s="157" t="s">
        <v>133</v>
      </c>
      <c r="D6" s="180">
        <v>0.86</v>
      </c>
      <c r="E6" s="171"/>
      <c r="F6" s="171"/>
      <c r="G6" s="187">
        <f>D6</f>
        <v>0.86</v>
      </c>
      <c r="H6" s="171"/>
      <c r="I6" s="171"/>
      <c r="J6" s="187">
        <f>D6</f>
        <v>0.86</v>
      </c>
      <c r="K6" s="156"/>
      <c r="L6" s="147">
        <f>D18</f>
        <v>22276236.891201608</v>
      </c>
      <c r="M6" s="148">
        <v>0.1</v>
      </c>
      <c r="N6" s="148">
        <f t="shared" ref="N6:T6" si="1">M6+1%</f>
        <v>0.11</v>
      </c>
      <c r="O6" s="148">
        <f t="shared" si="1"/>
        <v>0.12</v>
      </c>
      <c r="P6" s="149">
        <f t="shared" si="1"/>
        <v>0.13</v>
      </c>
      <c r="Q6" s="149">
        <f t="shared" si="1"/>
        <v>0.14000000000000001</v>
      </c>
      <c r="R6" s="149">
        <f t="shared" si="1"/>
        <v>0.15000000000000002</v>
      </c>
      <c r="S6" s="149">
        <f t="shared" si="1"/>
        <v>0.16000000000000003</v>
      </c>
      <c r="T6" s="149">
        <f t="shared" si="1"/>
        <v>0.17000000000000004</v>
      </c>
      <c r="AV6" s="155">
        <v>2</v>
      </c>
      <c r="AW6" s="150">
        <f ca="1">OFFSET('Government Impact_baseline'!$C$32,'Sensitivity 2'!$AV$4,'Sensitivity 2'!AV6)</f>
        <v>-4856893.3124999991</v>
      </c>
      <c r="AX6" s="150">
        <f ca="1">OFFSET('Government Impact_baseline'!$C$72,'Sensitivity 2'!$AV$4,'Sensitivity 2'!AV6)</f>
        <v>-4856893.3124999991</v>
      </c>
      <c r="AY6" s="150">
        <f ca="1">OFFSET('Government Impact_baseline'!$C$112,'Sensitivity 2'!$AV$4,'Sensitivity 2'!AV6)</f>
        <v>-4856893.3124999991</v>
      </c>
      <c r="AZ6" s="150">
        <f ca="1">OFFSET('Government Impact_baseline'!$C$151,'Sensitivity 2'!$AV$4,'Sensitivity 2'!AV6)</f>
        <v>-4856893.3124999991</v>
      </c>
      <c r="BA6" s="150">
        <f ca="1">OFFSET('Government Impact_baseline'!$C$190,'Sensitivity 2'!$AV$4,'Sensitivity 2'!AV6)</f>
        <v>-4856893.3124999991</v>
      </c>
      <c r="BB6" s="150">
        <f ca="1">OFFSET('Government Impact_baseline'!$C$229,'Sensitivity 2'!$AV$4,'Sensitivity 2'!AV6)</f>
        <v>-4856893.3124999991</v>
      </c>
      <c r="BC6" s="150">
        <f ca="1">OFFSET('Government Impact_baseline'!$C$268,'Sensitivity 2'!$AV$4,'Sensitivity 2'!AV6)</f>
        <v>-4856893.3124999991</v>
      </c>
    </row>
    <row r="7" spans="1:55" x14ac:dyDescent="0.3">
      <c r="B7" s="134" t="s">
        <v>89</v>
      </c>
      <c r="C7" s="157" t="s">
        <v>88</v>
      </c>
      <c r="D7" s="181">
        <v>8000</v>
      </c>
      <c r="E7" s="186">
        <f>D7</f>
        <v>8000</v>
      </c>
      <c r="F7" s="172"/>
      <c r="G7" s="172"/>
      <c r="H7" s="172"/>
      <c r="I7" s="172"/>
      <c r="J7" s="172"/>
      <c r="K7" s="156"/>
      <c r="L7" s="158" t="s">
        <v>131</v>
      </c>
      <c r="M7" s="152">
        <f t="dataTable" ref="M7:T7" dt2D="1" dtr="1" r1="D3" r2="M1"/>
        <v>22276236.891201608</v>
      </c>
      <c r="N7" s="153">
        <v>21326548.423075527</v>
      </c>
      <c r="O7" s="153">
        <v>20463648.655931</v>
      </c>
      <c r="P7" s="154">
        <v>19676307.690171339</v>
      </c>
      <c r="Q7" s="154">
        <v>18955037.093625508</v>
      </c>
      <c r="R7" s="154">
        <v>18291788.558809556</v>
      </c>
      <c r="S7" s="154">
        <v>17679708.925521553</v>
      </c>
      <c r="T7" s="154">
        <v>17112940.359882414</v>
      </c>
      <c r="AV7" s="155">
        <v>3</v>
      </c>
      <c r="AW7" s="150">
        <f ca="1">OFFSET('Government Impact_baseline'!$C$32,'Sensitivity 2'!$AV$4,'Sensitivity 2'!AV7)</f>
        <v>-7178176.2961349972</v>
      </c>
      <c r="AX7" s="150">
        <f ca="1">OFFSET('Government Impact_baseline'!$C$72,'Sensitivity 2'!$AV$4,'Sensitivity 2'!AV7)</f>
        <v>-7178176.2961349972</v>
      </c>
      <c r="AY7" s="150">
        <f ca="1">OFFSET('Government Impact_baseline'!$C$112,'Sensitivity 2'!$AV$4,'Sensitivity 2'!AV7)</f>
        <v>-7178176.2961349972</v>
      </c>
      <c r="AZ7" s="150">
        <f ca="1">OFFSET('Government Impact_baseline'!$C$151,'Sensitivity 2'!$AV$4,'Sensitivity 2'!AV7)</f>
        <v>-7178176.2961349972</v>
      </c>
      <c r="BA7" s="150">
        <f ca="1">OFFSET('Government Impact_baseline'!$C$190,'Sensitivity 2'!$AV$4,'Sensitivity 2'!AV7)</f>
        <v>-7178176.2961349972</v>
      </c>
      <c r="BB7" s="150">
        <f ca="1">OFFSET('Government Impact_baseline'!$C$229,'Sensitivity 2'!$AV$4,'Sensitivity 2'!AV7)</f>
        <v>-7178176.2961349972</v>
      </c>
      <c r="BC7" s="150">
        <f ca="1">OFFSET('Government Impact_baseline'!$C$268,'Sensitivity 2'!$AV$4,'Sensitivity 2'!AV7)</f>
        <v>-7178176.2961349972</v>
      </c>
    </row>
    <row r="8" spans="1:55" x14ac:dyDescent="0.3">
      <c r="B8" s="134" t="s">
        <v>80</v>
      </c>
      <c r="C8" s="157" t="s">
        <v>91</v>
      </c>
      <c r="D8" s="182">
        <v>225000</v>
      </c>
      <c r="E8" s="173"/>
      <c r="F8" s="188">
        <f>D8</f>
        <v>225000</v>
      </c>
      <c r="G8" s="173"/>
      <c r="H8" s="173"/>
      <c r="I8" s="173"/>
      <c r="J8" s="188">
        <f>D8</f>
        <v>225000</v>
      </c>
      <c r="K8" s="156"/>
      <c r="AV8" s="155">
        <v>4</v>
      </c>
      <c r="AW8" s="150">
        <f ca="1">OFFSET('Government Impact_baseline'!$C$32,'Sensitivity 2'!$AV$4,'Sensitivity 2'!AV8)</f>
        <v>-7945036.9760139091</v>
      </c>
      <c r="AX8" s="150">
        <f ca="1">OFFSET('Government Impact_baseline'!$C$72,'Sensitivity 2'!$AV$4,'Sensitivity 2'!AV8)</f>
        <v>-7945036.9760139091</v>
      </c>
      <c r="AY8" s="150">
        <f ca="1">OFFSET('Government Impact_baseline'!$C$112,'Sensitivity 2'!$AV$4,'Sensitivity 2'!AV8)</f>
        <v>-7945036.9760139091</v>
      </c>
      <c r="AZ8" s="150">
        <f ca="1">OFFSET('Government Impact_baseline'!$C$151,'Sensitivity 2'!$AV$4,'Sensitivity 2'!AV8)</f>
        <v>-7945036.9760139091</v>
      </c>
      <c r="BA8" s="150">
        <f ca="1">OFFSET('Government Impact_baseline'!$C$190,'Sensitivity 2'!$AV$4,'Sensitivity 2'!AV8)</f>
        <v>-7945036.9760139091</v>
      </c>
      <c r="BB8" s="150">
        <f ca="1">OFFSET('Government Impact_baseline'!$C$229,'Sensitivity 2'!$AV$4,'Sensitivity 2'!AV8)</f>
        <v>-7945036.9760139091</v>
      </c>
      <c r="BC8" s="150">
        <f ca="1">OFFSET('Government Impact_baseline'!$C$268,'Sensitivity 2'!$AV$4,'Sensitivity 2'!AV8)</f>
        <v>-7945036.9760139091</v>
      </c>
    </row>
    <row r="9" spans="1:55" x14ac:dyDescent="0.3">
      <c r="B9" s="134" t="s">
        <v>92</v>
      </c>
      <c r="C9" s="157" t="s">
        <v>90</v>
      </c>
      <c r="D9" s="180">
        <v>12</v>
      </c>
      <c r="E9" s="171"/>
      <c r="F9" s="171"/>
      <c r="G9" s="171"/>
      <c r="H9" s="187">
        <f>D9</f>
        <v>12</v>
      </c>
      <c r="I9" s="171"/>
      <c r="J9" s="171"/>
      <c r="K9" s="156"/>
      <c r="L9" s="147">
        <f>D19</f>
        <v>35795971.202124618</v>
      </c>
      <c r="M9" s="148">
        <v>0.1</v>
      </c>
      <c r="N9" s="148">
        <f t="shared" ref="N9:T9" si="2">M9+1%</f>
        <v>0.11</v>
      </c>
      <c r="O9" s="148">
        <f t="shared" si="2"/>
        <v>0.12</v>
      </c>
      <c r="P9" s="149">
        <f t="shared" si="2"/>
        <v>0.13</v>
      </c>
      <c r="Q9" s="149">
        <f t="shared" si="2"/>
        <v>0.14000000000000001</v>
      </c>
      <c r="R9" s="149">
        <f t="shared" si="2"/>
        <v>0.15000000000000002</v>
      </c>
      <c r="S9" s="149">
        <f t="shared" si="2"/>
        <v>0.16000000000000003</v>
      </c>
      <c r="T9" s="149">
        <f t="shared" si="2"/>
        <v>0.17000000000000004</v>
      </c>
      <c r="AV9" s="155">
        <v>5</v>
      </c>
      <c r="AW9" s="150">
        <f ca="1">OFFSET('Government Impact_baseline'!$C$32,'Sensitivity 2'!$AV$4,'Sensitivity 2'!AV9)</f>
        <v>-2476378.2078251997</v>
      </c>
      <c r="AX9" s="150">
        <f ca="1">OFFSET('Government Impact_baseline'!$C$72,'Sensitivity 2'!$AV$4,'Sensitivity 2'!AV9)</f>
        <v>-2476378.2078251997</v>
      </c>
      <c r="AY9" s="150">
        <f ca="1">OFFSET('Government Impact_baseline'!$C$112,'Sensitivity 2'!$AV$4,'Sensitivity 2'!AV9)</f>
        <v>-2476378.2078251997</v>
      </c>
      <c r="AZ9" s="150">
        <f ca="1">OFFSET('Government Impact_baseline'!$C$151,'Sensitivity 2'!$AV$4,'Sensitivity 2'!AV9)</f>
        <v>-2476378.2078251997</v>
      </c>
      <c r="BA9" s="150">
        <f ca="1">OFFSET('Government Impact_baseline'!$C$190,'Sensitivity 2'!$AV$4,'Sensitivity 2'!AV9)</f>
        <v>-2476378.2078251997</v>
      </c>
      <c r="BB9" s="150">
        <f ca="1">OFFSET('Government Impact_baseline'!$C$229,'Sensitivity 2'!$AV$4,'Sensitivity 2'!AV9)</f>
        <v>-2476378.2078251997</v>
      </c>
      <c r="BC9" s="150">
        <f ca="1">OFFSET('Government Impact_baseline'!$C$268,'Sensitivity 2'!$AV$4,'Sensitivity 2'!AV9)</f>
        <v>-2476378.2078251997</v>
      </c>
    </row>
    <row r="10" spans="1:55" x14ac:dyDescent="0.3">
      <c r="B10" s="134" t="s">
        <v>82</v>
      </c>
      <c r="C10" s="157" t="s">
        <v>91</v>
      </c>
      <c r="D10" s="182">
        <v>15000</v>
      </c>
      <c r="E10" s="173"/>
      <c r="F10" s="188">
        <f>D10</f>
        <v>15000</v>
      </c>
      <c r="G10" s="173"/>
      <c r="H10" s="173"/>
      <c r="I10" s="173"/>
      <c r="J10" s="173"/>
      <c r="K10" s="156"/>
      <c r="L10" s="151" t="s">
        <v>130</v>
      </c>
      <c r="M10" s="152">
        <f t="dataTable" ref="M10:T10" dt2D="1" dtr="1" r1="D3" r2="M1" ca="1"/>
        <v>35795971.202124618</v>
      </c>
      <c r="N10" s="153">
        <v>31784290.760761656</v>
      </c>
      <c r="O10" s="153">
        <v>28285870.354626738</v>
      </c>
      <c r="P10" s="154">
        <v>25225009.022042707</v>
      </c>
      <c r="Q10" s="154">
        <v>22538490.101509415</v>
      </c>
      <c r="R10" s="154">
        <v>20173338.32296095</v>
      </c>
      <c r="S10" s="154">
        <v>18085007.963977378</v>
      </c>
      <c r="T10" s="154">
        <v>16235914.532280065</v>
      </c>
      <c r="AV10" s="155">
        <v>6</v>
      </c>
      <c r="AW10" s="150">
        <f ca="1">OFFSET('Government Impact_baseline'!$C$32,'Sensitivity 2'!$AV$4,'Sensitivity 2'!AV10)</f>
        <v>-2399703.8266784917</v>
      </c>
      <c r="AX10" s="150">
        <f ca="1">OFFSET('Government Impact_baseline'!$C$72,'Sensitivity 2'!$AV$4,'Sensitivity 2'!AV10)</f>
        <v>-2399703.8266784917</v>
      </c>
      <c r="AY10" s="150">
        <f ca="1">OFFSET('Government Impact_baseline'!$C$112,'Sensitivity 2'!$AV$4,'Sensitivity 2'!AV10)</f>
        <v>-2399703.8266784917</v>
      </c>
      <c r="AZ10" s="150">
        <f ca="1">OFFSET('Government Impact_baseline'!$C$151,'Sensitivity 2'!$AV$4,'Sensitivity 2'!AV10)</f>
        <v>-2399703.8266784917</v>
      </c>
      <c r="BA10" s="150">
        <f ca="1">OFFSET('Government Impact_baseline'!$C$190,'Sensitivity 2'!$AV$4,'Sensitivity 2'!AV10)</f>
        <v>-2399703.8266784917</v>
      </c>
      <c r="BB10" s="150">
        <f ca="1">OFFSET('Government Impact_baseline'!$C$229,'Sensitivity 2'!$AV$4,'Sensitivity 2'!AV10)</f>
        <v>-2399703.8266784917</v>
      </c>
      <c r="BC10" s="150">
        <f ca="1">OFFSET('Government Impact_baseline'!$C$268,'Sensitivity 2'!$AV$4,'Sensitivity 2'!AV10)</f>
        <v>-2399703.8266784917</v>
      </c>
    </row>
    <row r="11" spans="1:55" x14ac:dyDescent="0.3">
      <c r="B11" s="134" t="s">
        <v>83</v>
      </c>
      <c r="C11" s="157" t="s">
        <v>90</v>
      </c>
      <c r="D11" s="182">
        <v>650</v>
      </c>
      <c r="E11" s="173"/>
      <c r="F11" s="173"/>
      <c r="G11" s="173"/>
      <c r="H11" s="188">
        <f>D11</f>
        <v>650</v>
      </c>
      <c r="I11" s="173"/>
      <c r="J11" s="188">
        <f>D11</f>
        <v>650</v>
      </c>
      <c r="AV11" s="155">
        <v>7</v>
      </c>
      <c r="AW11" s="150">
        <f ca="1">OFFSET('Government Impact_baseline'!$C$32,'Sensitivity 2'!$AV$4,'Sensitivity 2'!AV11)</f>
        <v>-2323256.9254791681</v>
      </c>
      <c r="AX11" s="150">
        <f ca="1">OFFSET('Government Impact_baseline'!$C$72,'Sensitivity 2'!$AV$4,'Sensitivity 2'!AV11)</f>
        <v>-2323256.9254791681</v>
      </c>
      <c r="AY11" s="150">
        <f ca="1">OFFSET('Government Impact_baseline'!$C$112,'Sensitivity 2'!$AV$4,'Sensitivity 2'!AV11)</f>
        <v>-2323256.9254791681</v>
      </c>
      <c r="AZ11" s="150">
        <f ca="1">OFFSET('Government Impact_baseline'!$C$151,'Sensitivity 2'!$AV$4,'Sensitivity 2'!AV11)</f>
        <v>-2323256.9254791681</v>
      </c>
      <c r="BA11" s="150">
        <f ca="1">OFFSET('Government Impact_baseline'!$C$190,'Sensitivity 2'!$AV$4,'Sensitivity 2'!AV11)</f>
        <v>-2323256.9254791681</v>
      </c>
      <c r="BB11" s="150">
        <f ca="1">OFFSET('Government Impact_baseline'!$C$229,'Sensitivity 2'!$AV$4,'Sensitivity 2'!AV11)</f>
        <v>-2323256.9254791681</v>
      </c>
      <c r="BC11" s="150">
        <f ca="1">OFFSET('Government Impact_baseline'!$C$268,'Sensitivity 2'!$AV$4,'Sensitivity 2'!AV11)</f>
        <v>-2323256.9254791681</v>
      </c>
    </row>
    <row r="12" spans="1:55" x14ac:dyDescent="0.3">
      <c r="A12" s="159"/>
      <c r="B12" s="134" t="s">
        <v>87</v>
      </c>
      <c r="C12" s="160" t="s">
        <v>10</v>
      </c>
      <c r="D12" s="182">
        <v>200</v>
      </c>
      <c r="E12" s="173"/>
      <c r="F12" s="173"/>
      <c r="G12" s="173"/>
      <c r="H12" s="173"/>
      <c r="I12" s="173"/>
      <c r="J12" s="173"/>
      <c r="L12" s="136" t="s">
        <v>128</v>
      </c>
      <c r="AV12" s="155">
        <v>8</v>
      </c>
      <c r="AW12" s="150">
        <f ca="1">OFFSET('Government Impact_baseline'!$C$32,'Sensitivity 2'!$AV$4,'Sensitivity 2'!AV12)</f>
        <v>-2247040.9164264407</v>
      </c>
      <c r="AX12" s="150">
        <f ca="1">OFFSET('Government Impact_baseline'!$C$72,'Sensitivity 2'!$AV$4,'Sensitivity 2'!AV12)</f>
        <v>-2247040.9164264407</v>
      </c>
      <c r="AY12" s="150">
        <f ca="1">OFFSET('Government Impact_baseline'!$C$112,'Sensitivity 2'!$AV$4,'Sensitivity 2'!AV12)</f>
        <v>-2247040.9164264407</v>
      </c>
      <c r="AZ12" s="150">
        <f ca="1">OFFSET('Government Impact_baseline'!$C$151,'Sensitivity 2'!$AV$4,'Sensitivity 2'!AV12)</f>
        <v>-2247040.9164264407</v>
      </c>
      <c r="BA12" s="150">
        <f ca="1">OFFSET('Government Impact_baseline'!$C$190,'Sensitivity 2'!$AV$4,'Sensitivity 2'!AV12)</f>
        <v>-2247040.9164264407</v>
      </c>
      <c r="BB12" s="150">
        <f ca="1">OFFSET('Government Impact_baseline'!$C$229,'Sensitivity 2'!$AV$4,'Sensitivity 2'!AV12)</f>
        <v>-2247040.9164264407</v>
      </c>
      <c r="BC12" s="150">
        <f ca="1">OFFSET('Government Impact_baseline'!$C$268,'Sensitivity 2'!$AV$4,'Sensitivity 2'!AV12)</f>
        <v>-2247040.9164264407</v>
      </c>
    </row>
    <row r="13" spans="1:55" x14ac:dyDescent="0.3">
      <c r="A13" s="138"/>
      <c r="B13" s="138" t="s">
        <v>77</v>
      </c>
      <c r="C13" s="161"/>
      <c r="D13" s="183">
        <v>0.5</v>
      </c>
      <c r="E13" s="174"/>
      <c r="F13" s="174"/>
      <c r="G13" s="174"/>
      <c r="H13" s="174"/>
      <c r="I13" s="189">
        <f>D13</f>
        <v>0.5</v>
      </c>
      <c r="J13" s="174"/>
      <c r="L13" s="141" t="s">
        <v>132</v>
      </c>
      <c r="M13" s="141"/>
      <c r="N13" s="141"/>
      <c r="O13" s="141"/>
      <c r="P13" s="141"/>
      <c r="Q13" s="142"/>
      <c r="R13" s="142"/>
      <c r="S13" s="142"/>
      <c r="T13" s="142"/>
      <c r="AV13" s="155">
        <v>9</v>
      </c>
      <c r="AW13" s="150">
        <f ca="1">OFFSET('Government Impact_baseline'!$C$32,'Sensitivity 2'!$AV$4,'Sensitivity 2'!AV13)</f>
        <v>-2171059.2629025076</v>
      </c>
      <c r="AX13" s="150">
        <f ca="1">OFFSET('Government Impact_baseline'!$C$72,'Sensitivity 2'!$AV$4,'Sensitivity 2'!AV13)</f>
        <v>-2171059.2629025076</v>
      </c>
      <c r="AY13" s="150">
        <f ca="1">OFFSET('Government Impact_baseline'!$C$112,'Sensitivity 2'!$AV$4,'Sensitivity 2'!AV13)</f>
        <v>-2171059.2629025076</v>
      </c>
      <c r="AZ13" s="150">
        <f ca="1">OFFSET('Government Impact_baseline'!$C$151,'Sensitivity 2'!$AV$4,'Sensitivity 2'!AV13)</f>
        <v>-2171059.2629025076</v>
      </c>
      <c r="BA13" s="150">
        <f ca="1">OFFSET('Government Impact_baseline'!$C$190,'Sensitivity 2'!$AV$4,'Sensitivity 2'!AV13)</f>
        <v>-2171059.2629025076</v>
      </c>
      <c r="BB13" s="150">
        <f ca="1">OFFSET('Government Impact_baseline'!$C$229,'Sensitivity 2'!$AV$4,'Sensitivity 2'!AV13)</f>
        <v>-2171059.2629025076</v>
      </c>
      <c r="BC13" s="150">
        <f ca="1">OFFSET('Government Impact_baseline'!$C$268,'Sensitivity 2'!$AV$4,'Sensitivity 2'!AV13)</f>
        <v>-2171059.2629025076</v>
      </c>
    </row>
    <row r="14" spans="1:55" x14ac:dyDescent="0.3">
      <c r="A14" s="136" t="s">
        <v>86</v>
      </c>
      <c r="C14" s="157"/>
      <c r="D14" s="180"/>
      <c r="E14" s="157"/>
      <c r="F14" s="157"/>
      <c r="G14" s="157"/>
      <c r="H14" s="157"/>
      <c r="I14" s="157"/>
      <c r="J14" s="157"/>
      <c r="L14" s="147">
        <f>D15</f>
        <v>13519734.310923001</v>
      </c>
      <c r="M14" s="162">
        <v>0.7</v>
      </c>
      <c r="N14" s="162">
        <v>0.75</v>
      </c>
      <c r="O14" s="162">
        <v>0.8</v>
      </c>
      <c r="P14" s="163">
        <v>0.86</v>
      </c>
      <c r="Q14" s="163">
        <v>0.9</v>
      </c>
      <c r="R14" s="163">
        <v>0.95</v>
      </c>
      <c r="S14" s="163">
        <v>1</v>
      </c>
      <c r="T14" s="163">
        <v>1.05</v>
      </c>
      <c r="AV14" s="155">
        <v>10</v>
      </c>
      <c r="AW14" s="150">
        <f ca="1">OFFSET('Government Impact_baseline'!$C$32,'Sensitivity 2'!$AV$4,'Sensitivity 2'!AV14)</f>
        <v>-2095315.4802403012</v>
      </c>
      <c r="AX14" s="150">
        <f ca="1">OFFSET('Government Impact_baseline'!$C$72,'Sensitivity 2'!$AV$4,'Sensitivity 2'!AV14)</f>
        <v>-2095315.4802403012</v>
      </c>
      <c r="AY14" s="150">
        <f ca="1">OFFSET('Government Impact_baseline'!$C$112,'Sensitivity 2'!$AV$4,'Sensitivity 2'!AV14)</f>
        <v>-2095315.4802403012</v>
      </c>
      <c r="AZ14" s="150">
        <f ca="1">OFFSET('Government Impact_baseline'!$C$151,'Sensitivity 2'!$AV$4,'Sensitivity 2'!AV14)</f>
        <v>-2095315.4802403012</v>
      </c>
      <c r="BA14" s="150">
        <f ca="1">OFFSET('Government Impact_baseline'!$C$190,'Sensitivity 2'!$AV$4,'Sensitivity 2'!AV14)</f>
        <v>-2095315.4802403012</v>
      </c>
      <c r="BB14" s="150">
        <f ca="1">OFFSET('Government Impact_baseline'!$C$229,'Sensitivity 2'!$AV$4,'Sensitivity 2'!AV14)</f>
        <v>-2095315.4802403012</v>
      </c>
      <c r="BC14" s="150">
        <f ca="1">OFFSET('Government Impact_baseline'!$C$268,'Sensitivity 2'!$AV$4,'Sensitivity 2'!AV14)</f>
        <v>-2095315.4802403012</v>
      </c>
    </row>
    <row r="15" spans="1:55" x14ac:dyDescent="0.3">
      <c r="B15" s="134" t="s">
        <v>84</v>
      </c>
      <c r="C15" s="157" t="s">
        <v>93</v>
      </c>
      <c r="D15" s="184">
        <f>NPV(D3,'Project Cash Flows'!D23:AA23)+'Project Cash Flows'!C23</f>
        <v>13519734.310923001</v>
      </c>
      <c r="E15" s="153"/>
      <c r="F15" s="153"/>
      <c r="G15" s="153"/>
      <c r="H15" s="153"/>
      <c r="I15" s="153"/>
      <c r="J15" s="153"/>
      <c r="L15" s="151" t="s">
        <v>129</v>
      </c>
      <c r="M15" s="153">
        <f t="dataTable" ref="M15:T15" dt2D="1" dtr="1" r1="D6" r2="M1" ca="1"/>
        <v>14803999.023852846</v>
      </c>
      <c r="N15" s="153">
        <v>14402666.301062269</v>
      </c>
      <c r="O15" s="153">
        <v>14001333.578271693</v>
      </c>
      <c r="P15" s="164">
        <v>13519734.310923001</v>
      </c>
      <c r="Q15" s="154">
        <v>13198668.132690536</v>
      </c>
      <c r="R15" s="154">
        <v>12797335.409899963</v>
      </c>
      <c r="S15" s="154">
        <v>12396002.687109387</v>
      </c>
      <c r="T15" s="154">
        <v>11994669.964318808</v>
      </c>
      <c r="AV15" s="155">
        <v>11</v>
      </c>
      <c r="AW15" s="150">
        <f ca="1">OFFSET('Government Impact_baseline'!$C$32,'Sensitivity 2'!$AV$4,'Sensitivity 2'!AV15)</f>
        <v>-2019813.1365027474</v>
      </c>
      <c r="AX15" s="150">
        <f ca="1">OFFSET('Government Impact_baseline'!$C$72,'Sensitivity 2'!$AV$4,'Sensitivity 2'!AV15)</f>
        <v>-2019813.1365027474</v>
      </c>
      <c r="AY15" s="150">
        <f ca="1">OFFSET('Government Impact_baseline'!$C$112,'Sensitivity 2'!$AV$4,'Sensitivity 2'!AV15)</f>
        <v>-2019813.1365027474</v>
      </c>
      <c r="AZ15" s="150">
        <f ca="1">OFFSET('Government Impact_baseline'!$C$151,'Sensitivity 2'!$AV$4,'Sensitivity 2'!AV15)</f>
        <v>-2019813.1365027474</v>
      </c>
      <c r="BA15" s="150">
        <f ca="1">OFFSET('Government Impact_baseline'!$C$190,'Sensitivity 2'!$AV$4,'Sensitivity 2'!AV15)</f>
        <v>-2019813.1365027474</v>
      </c>
      <c r="BB15" s="150">
        <f ca="1">OFFSET('Government Impact_baseline'!$C$229,'Sensitivity 2'!$AV$4,'Sensitivity 2'!AV15)</f>
        <v>-2019813.1365027474</v>
      </c>
      <c r="BC15" s="150">
        <f ca="1">OFFSET('Government Impact_baseline'!$C$268,'Sensitivity 2'!$AV$4,'Sensitivity 2'!AV15)</f>
        <v>-2019813.1365027474</v>
      </c>
    </row>
    <row r="16" spans="1:55" x14ac:dyDescent="0.3">
      <c r="B16" s="134" t="s">
        <v>78</v>
      </c>
      <c r="D16" s="185">
        <f>IRR('Project Cash Flows'!C23:AA23)</f>
        <v>0.16301173108266154</v>
      </c>
      <c r="E16" s="165"/>
      <c r="F16" s="165"/>
      <c r="G16" s="165"/>
      <c r="H16" s="165"/>
      <c r="I16" s="165"/>
      <c r="J16" s="165"/>
      <c r="AV16" s="155">
        <v>12</v>
      </c>
      <c r="AW16" s="150">
        <f ca="1">OFFSET('Government Impact_baseline'!$C$32,'Sensitivity 2'!$AV$4,'Sensitivity 2'!AV16)</f>
        <v>-1944555.8532737158</v>
      </c>
      <c r="AX16" s="150">
        <f ca="1">OFFSET('Government Impact_baseline'!$C$72,'Sensitivity 2'!$AV$4,'Sensitivity 2'!AV16)</f>
        <v>-1944555.8532737158</v>
      </c>
      <c r="AY16" s="150">
        <f ca="1">OFFSET('Government Impact_baseline'!$C$112,'Sensitivity 2'!$AV$4,'Sensitivity 2'!AV16)</f>
        <v>-1944555.8532737158</v>
      </c>
      <c r="AZ16" s="150">
        <f ca="1">OFFSET('Government Impact_baseline'!$C$151,'Sensitivity 2'!$AV$4,'Sensitivity 2'!AV16)</f>
        <v>-1944555.8532737158</v>
      </c>
      <c r="BA16" s="150">
        <f ca="1">OFFSET('Government Impact_baseline'!$C$190,'Sensitivity 2'!$AV$4,'Sensitivity 2'!AV16)</f>
        <v>-1944555.8532737158</v>
      </c>
      <c r="BB16" s="150">
        <f ca="1">OFFSET('Government Impact_baseline'!$C$229,'Sensitivity 2'!$AV$4,'Sensitivity 2'!AV16)</f>
        <v>-1944555.8532737158</v>
      </c>
      <c r="BC16" s="150">
        <f ca="1">OFFSET('Government Impact_baseline'!$C$268,'Sensitivity 2'!$AV$4,'Sensitivity 2'!AV16)</f>
        <v>-1944555.8532737158</v>
      </c>
    </row>
    <row r="17" spans="2:55" x14ac:dyDescent="0.3">
      <c r="B17" s="134" t="s">
        <v>79</v>
      </c>
      <c r="C17" s="157" t="s">
        <v>93</v>
      </c>
      <c r="D17" s="184">
        <f>SUM('Project Cash Flows'!C18:Z18,'Project Cash Flows'!C21:AA21)</f>
        <v>21906200</v>
      </c>
      <c r="E17" s="153"/>
      <c r="F17" s="153"/>
      <c r="G17" s="153"/>
      <c r="H17" s="153"/>
      <c r="I17" s="153"/>
      <c r="J17" s="153"/>
      <c r="L17" s="147">
        <f>D18</f>
        <v>22276236.891201608</v>
      </c>
      <c r="M17" s="162">
        <v>0.7</v>
      </c>
      <c r="N17" s="162">
        <v>0.75</v>
      </c>
      <c r="O17" s="162">
        <v>0.8</v>
      </c>
      <c r="P17" s="163">
        <v>0.86</v>
      </c>
      <c r="Q17" s="163">
        <v>0.9</v>
      </c>
      <c r="R17" s="163">
        <v>0.95</v>
      </c>
      <c r="S17" s="163">
        <v>1</v>
      </c>
      <c r="T17" s="163">
        <v>1.05</v>
      </c>
      <c r="AV17" s="155">
        <v>13</v>
      </c>
      <c r="AW17" s="150">
        <f ca="1">OFFSET('Government Impact_baseline'!$C$32,'Sensitivity 2'!$AV$4,'Sensitivity 2'!AV17)</f>
        <v>-2472334.3721905053</v>
      </c>
      <c r="AX17" s="150">
        <f ca="1">OFFSET('Government Impact_baseline'!$C$72,'Sensitivity 2'!$AV$4,'Sensitivity 2'!AV17)</f>
        <v>-2472334.3721905053</v>
      </c>
      <c r="AY17" s="150">
        <f ca="1">OFFSET('Government Impact_baseline'!$C$112,'Sensitivity 2'!$AV$4,'Sensitivity 2'!AV17)</f>
        <v>-2472334.3721905053</v>
      </c>
      <c r="AZ17" s="150">
        <f ca="1">OFFSET('Government Impact_baseline'!$C$151,'Sensitivity 2'!$AV$4,'Sensitivity 2'!AV17)</f>
        <v>-2472334.3721905053</v>
      </c>
      <c r="BA17" s="150">
        <f ca="1">OFFSET('Government Impact_baseline'!$C$190,'Sensitivity 2'!$AV$4,'Sensitivity 2'!AV17)</f>
        <v>-2472334.3721905053</v>
      </c>
      <c r="BB17" s="150">
        <f ca="1">OFFSET('Government Impact_baseline'!$C$229,'Sensitivity 2'!$AV$4,'Sensitivity 2'!AV17)</f>
        <v>-2472334.3721905053</v>
      </c>
      <c r="BC17" s="150">
        <f ca="1">OFFSET('Government Impact_baseline'!$C$268,'Sensitivity 2'!$AV$4,'Sensitivity 2'!AV17)</f>
        <v>-2472334.3721905053</v>
      </c>
    </row>
    <row r="18" spans="2:55" x14ac:dyDescent="0.3">
      <c r="B18" s="134" t="s">
        <v>70</v>
      </c>
      <c r="C18" s="157" t="s">
        <v>93</v>
      </c>
      <c r="D18" s="184">
        <f>-(NPV($D$3,'Project Cash Flows'!D25:AA25)+'Project Cash Flows'!C25)</f>
        <v>22276236.891201608</v>
      </c>
      <c r="E18" s="153"/>
      <c r="F18" s="153"/>
      <c r="G18" s="153"/>
      <c r="H18" s="153"/>
      <c r="I18" s="153"/>
      <c r="J18" s="153"/>
      <c r="L18" s="158" t="s">
        <v>131</v>
      </c>
      <c r="M18" s="153">
        <f t="dataTable" ref="M18:T18" dt2D="1" dtr="1" r1="D6" r2="M1" ca="1"/>
        <v>21732595.923905075</v>
      </c>
      <c r="N18" s="153">
        <v>21902483.726185244</v>
      </c>
      <c r="O18" s="153">
        <v>22072371.528465413</v>
      </c>
      <c r="P18" s="164">
        <v>22276236.891201608</v>
      </c>
      <c r="Q18" s="154">
        <v>22412147.133025747</v>
      </c>
      <c r="R18" s="154">
        <v>22582034.935305905</v>
      </c>
      <c r="S18" s="154">
        <v>22751922.737586074</v>
      </c>
      <c r="T18" s="154">
        <v>22921810.539866239</v>
      </c>
      <c r="AV18" s="155">
        <v>14</v>
      </c>
      <c r="AW18" s="150">
        <f ca="1">OFFSET('Government Impact_baseline'!$C$32,'Sensitivity 2'!$AV$4,'Sensitivity 2'!AV18)</f>
        <v>-4733723.9939728081</v>
      </c>
      <c r="AX18" s="150">
        <f ca="1">OFFSET('Government Impact_baseline'!$C$72,'Sensitivity 2'!$AV$4,'Sensitivity 2'!AV18)</f>
        <v>-4733723.9939728081</v>
      </c>
      <c r="AY18" s="150">
        <f ca="1">OFFSET('Government Impact_baseline'!$C$112,'Sensitivity 2'!$AV$4,'Sensitivity 2'!AV18)</f>
        <v>-4733723.9939728081</v>
      </c>
      <c r="AZ18" s="150">
        <f ca="1">OFFSET('Government Impact_baseline'!$C$151,'Sensitivity 2'!$AV$4,'Sensitivity 2'!AV18)</f>
        <v>-4733723.9939728081</v>
      </c>
      <c r="BA18" s="150">
        <f ca="1">OFFSET('Government Impact_baseline'!$C$190,'Sensitivity 2'!$AV$4,'Sensitivity 2'!AV18)</f>
        <v>-4733723.9939728081</v>
      </c>
      <c r="BB18" s="150">
        <f ca="1">OFFSET('Government Impact_baseline'!$C$229,'Sensitivity 2'!$AV$4,'Sensitivity 2'!AV18)</f>
        <v>-4733723.9939728081</v>
      </c>
      <c r="BC18" s="150">
        <f ca="1">OFFSET('Government Impact_baseline'!$C$268,'Sensitivity 2'!$AV$4,'Sensitivity 2'!AV18)</f>
        <v>-4733723.9939728081</v>
      </c>
    </row>
    <row r="19" spans="2:55" x14ac:dyDescent="0.3">
      <c r="B19" s="134" t="s">
        <v>75</v>
      </c>
      <c r="C19" s="157" t="s">
        <v>93</v>
      </c>
      <c r="D19" s="184">
        <f>NPV(D3,'Project Cash Flows'!D24:AA24)+'Project Cash Flows'!C24</f>
        <v>35795971.202124618</v>
      </c>
      <c r="E19" s="153"/>
      <c r="F19" s="153"/>
      <c r="G19" s="153"/>
      <c r="H19" s="153"/>
      <c r="I19" s="153"/>
      <c r="J19" s="153"/>
      <c r="AV19" s="155">
        <v>15</v>
      </c>
      <c r="AW19" s="150">
        <f ca="1">OFFSET('Government Impact_baseline'!$C$32,'Sensitivity 2'!$AV$4,'Sensitivity 2'!AV19)</f>
        <v>-1720291.4022341846</v>
      </c>
      <c r="AX19" s="150">
        <f ca="1">OFFSET('Government Impact_baseline'!$C$72,'Sensitivity 2'!$AV$4,'Sensitivity 2'!AV19)</f>
        <v>-1720291.4022341846</v>
      </c>
      <c r="AY19" s="150">
        <f ca="1">OFFSET('Government Impact_baseline'!$C$112,'Sensitivity 2'!$AV$4,'Sensitivity 2'!AV19)</f>
        <v>-1720291.4022341846</v>
      </c>
      <c r="AZ19" s="150">
        <f ca="1">OFFSET('Government Impact_baseline'!$C$151,'Sensitivity 2'!$AV$4,'Sensitivity 2'!AV19)</f>
        <v>-1720291.4022341846</v>
      </c>
      <c r="BA19" s="150">
        <f ca="1">OFFSET('Government Impact_baseline'!$C$190,'Sensitivity 2'!$AV$4,'Sensitivity 2'!AV19)</f>
        <v>-1720291.4022341846</v>
      </c>
      <c r="BB19" s="150">
        <f ca="1">OFFSET('Government Impact_baseline'!$C$229,'Sensitivity 2'!$AV$4,'Sensitivity 2'!AV19)</f>
        <v>-1720291.4022341846</v>
      </c>
      <c r="BC19" s="150">
        <f ca="1">OFFSET('Government Impact_baseline'!$C$268,'Sensitivity 2'!$AV$4,'Sensitivity 2'!AV19)</f>
        <v>-1720291.4022341846</v>
      </c>
    </row>
    <row r="20" spans="2:55" x14ac:dyDescent="0.3">
      <c r="B20" s="134" t="s">
        <v>76</v>
      </c>
      <c r="D20" s="185">
        <f>IRR('Project Cash Flows'!C24:AA24)</f>
        <v>0.50330655295518967</v>
      </c>
      <c r="E20" s="165"/>
      <c r="F20" s="165"/>
      <c r="G20" s="165"/>
      <c r="H20" s="165"/>
      <c r="I20" s="165"/>
      <c r="J20" s="165"/>
      <c r="L20" s="147">
        <f>D19</f>
        <v>35795971.202124618</v>
      </c>
      <c r="M20" s="162">
        <v>0.7</v>
      </c>
      <c r="N20" s="162">
        <v>0.75</v>
      </c>
      <c r="O20" s="162">
        <v>0.8</v>
      </c>
      <c r="P20" s="163">
        <v>0.86</v>
      </c>
      <c r="Q20" s="163">
        <v>0.9</v>
      </c>
      <c r="R20" s="163">
        <v>0.95</v>
      </c>
      <c r="S20" s="163">
        <v>1</v>
      </c>
      <c r="T20" s="163">
        <v>1.05</v>
      </c>
      <c r="AV20" s="155">
        <v>16</v>
      </c>
      <c r="AW20" s="150">
        <f ca="1">OFFSET('Government Impact_baseline'!$C$32,'Sensitivity 2'!$AV$4,'Sensitivity 2'!AV20)</f>
        <v>-1646051.6756494672</v>
      </c>
      <c r="AX20" s="150">
        <f ca="1">OFFSET('Government Impact_baseline'!$C$72,'Sensitivity 2'!$AV$4,'Sensitivity 2'!AV20)</f>
        <v>-1646051.6756494672</v>
      </c>
      <c r="AY20" s="150">
        <f ca="1">OFFSET('Government Impact_baseline'!$C$112,'Sensitivity 2'!$AV$4,'Sensitivity 2'!AV20)</f>
        <v>-1646051.6756494672</v>
      </c>
      <c r="AZ20" s="150">
        <f ca="1">OFFSET('Government Impact_baseline'!$C$151,'Sensitivity 2'!$AV$4,'Sensitivity 2'!AV20)</f>
        <v>-1646051.6756494672</v>
      </c>
      <c r="BA20" s="150">
        <f ca="1">OFFSET('Government Impact_baseline'!$C$190,'Sensitivity 2'!$AV$4,'Sensitivity 2'!AV20)</f>
        <v>-1646051.6756494672</v>
      </c>
      <c r="BB20" s="150">
        <f ca="1">OFFSET('Government Impact_baseline'!$C$229,'Sensitivity 2'!$AV$4,'Sensitivity 2'!AV20)</f>
        <v>-1646051.6756494672</v>
      </c>
      <c r="BC20" s="150">
        <f ca="1">OFFSET('Government Impact_baseline'!$C$268,'Sensitivity 2'!$AV$4,'Sensitivity 2'!AV20)</f>
        <v>-1646051.6756494672</v>
      </c>
    </row>
    <row r="21" spans="2:55" x14ac:dyDescent="0.3">
      <c r="L21" s="151" t="s">
        <v>130</v>
      </c>
      <c r="M21" s="153">
        <f t="dataTable" ref="M21:T21" dt2D="1" dtr="1" r1="D6" r2="M1" ca="1"/>
        <v>36536594.947757937</v>
      </c>
      <c r="N21" s="153">
        <v>36305150.027247518</v>
      </c>
      <c r="O21" s="153">
        <v>36073705.1067371</v>
      </c>
      <c r="P21" s="164">
        <v>35795971.202124618</v>
      </c>
      <c r="Q21" s="154">
        <v>35610815.265716292</v>
      </c>
      <c r="R21" s="154">
        <v>35379370.345205873</v>
      </c>
      <c r="S21" s="154">
        <v>35147925.424695447</v>
      </c>
      <c r="T21" s="154">
        <v>34916480.504185043</v>
      </c>
      <c r="AV21" s="155">
        <v>17</v>
      </c>
      <c r="AW21" s="150">
        <f ca="1">OFFSET('Government Impact_baseline'!$C$32,'Sensitivity 2'!$AV$4,'Sensitivity 2'!AV21)</f>
        <v>-1572075.9488305645</v>
      </c>
      <c r="AX21" s="150">
        <f ca="1">OFFSET('Government Impact_baseline'!$C$72,'Sensitivity 2'!$AV$4,'Sensitivity 2'!AV21)</f>
        <v>-1572075.9488305645</v>
      </c>
      <c r="AY21" s="150">
        <f ca="1">OFFSET('Government Impact_baseline'!$C$112,'Sensitivity 2'!$AV$4,'Sensitivity 2'!AV21)</f>
        <v>-1572075.9488305645</v>
      </c>
      <c r="AZ21" s="150">
        <f ca="1">OFFSET('Government Impact_baseline'!$C$151,'Sensitivity 2'!$AV$4,'Sensitivity 2'!AV21)</f>
        <v>-1572075.9488305645</v>
      </c>
      <c r="BA21" s="150">
        <f ca="1">OFFSET('Government Impact_baseline'!$C$190,'Sensitivity 2'!$AV$4,'Sensitivity 2'!AV21)</f>
        <v>-1572075.9488305645</v>
      </c>
      <c r="BB21" s="150">
        <f ca="1">OFFSET('Government Impact_baseline'!$C$229,'Sensitivity 2'!$AV$4,'Sensitivity 2'!AV21)</f>
        <v>-1572075.9488305645</v>
      </c>
      <c r="BC21" s="150">
        <f ca="1">OFFSET('Government Impact_baseline'!$C$268,'Sensitivity 2'!$AV$4,'Sensitivity 2'!AV21)</f>
        <v>-1572075.9488305645</v>
      </c>
    </row>
    <row r="22" spans="2:55" x14ac:dyDescent="0.3">
      <c r="D22" s="154"/>
      <c r="E22" s="154"/>
      <c r="F22" s="154"/>
      <c r="G22" s="154"/>
      <c r="H22" s="154"/>
      <c r="I22" s="154"/>
      <c r="J22" s="154"/>
      <c r="AV22" s="155">
        <v>18</v>
      </c>
      <c r="AW22" s="150">
        <f ca="1">OFFSET('Government Impact_baseline'!$C$32,'Sensitivity 2'!$AV$4,'Sensitivity 2'!AV22)</f>
        <v>-1498368.1817739638</v>
      </c>
      <c r="AX22" s="150">
        <f ca="1">OFFSET('Government Impact_baseline'!$C$72,'Sensitivity 2'!$AV$4,'Sensitivity 2'!AV22)</f>
        <v>-1498368.1817739638</v>
      </c>
      <c r="AY22" s="150">
        <f ca="1">OFFSET('Government Impact_baseline'!$C$112,'Sensitivity 2'!$AV$4,'Sensitivity 2'!AV22)</f>
        <v>-1498368.1817739638</v>
      </c>
      <c r="AZ22" s="150">
        <f ca="1">OFFSET('Government Impact_baseline'!$C$151,'Sensitivity 2'!$AV$4,'Sensitivity 2'!AV22)</f>
        <v>-1498368.1817739638</v>
      </c>
      <c r="BA22" s="150">
        <f ca="1">OFFSET('Government Impact_baseline'!$C$190,'Sensitivity 2'!$AV$4,'Sensitivity 2'!AV22)</f>
        <v>-1498368.1817739638</v>
      </c>
      <c r="BB22" s="150">
        <f ca="1">OFFSET('Government Impact_baseline'!$C$229,'Sensitivity 2'!$AV$4,'Sensitivity 2'!AV22)</f>
        <v>-1498368.1817739638</v>
      </c>
      <c r="BC22" s="150">
        <f ca="1">OFFSET('Government Impact_baseline'!$C$268,'Sensitivity 2'!$AV$4,'Sensitivity 2'!AV22)</f>
        <v>-1498368.1817739638</v>
      </c>
    </row>
    <row r="23" spans="2:55" x14ac:dyDescent="0.3">
      <c r="L23" s="136" t="s">
        <v>128</v>
      </c>
      <c r="AV23" s="155">
        <v>19</v>
      </c>
      <c r="AW23" s="150">
        <f ca="1">OFFSET('Government Impact_baseline'!$C$32,'Sensitivity 2'!$AV$4,'Sensitivity 2'!AV23)</f>
        <v>-1424932.3938761</v>
      </c>
      <c r="AX23" s="150">
        <f ca="1">OFFSET('Government Impact_baseline'!$C$72,'Sensitivity 2'!$AV$4,'Sensitivity 2'!AV23)</f>
        <v>-1424932.3938761</v>
      </c>
      <c r="AY23" s="150">
        <f ca="1">OFFSET('Government Impact_baseline'!$C$112,'Sensitivity 2'!$AV$4,'Sensitivity 2'!AV23)</f>
        <v>-1424932.3938761</v>
      </c>
      <c r="AZ23" s="150">
        <f ca="1">OFFSET('Government Impact_baseline'!$C$151,'Sensitivity 2'!$AV$4,'Sensitivity 2'!AV23)</f>
        <v>-1424932.3938761</v>
      </c>
      <c r="BA23" s="150">
        <f ca="1">OFFSET('Government Impact_baseline'!$C$190,'Sensitivity 2'!$AV$4,'Sensitivity 2'!AV23)</f>
        <v>-1424932.3938761</v>
      </c>
      <c r="BB23" s="150">
        <f ca="1">OFFSET('Government Impact_baseline'!$C$229,'Sensitivity 2'!$AV$4,'Sensitivity 2'!AV23)</f>
        <v>-1424932.3938761</v>
      </c>
      <c r="BC23" s="150">
        <f ca="1">OFFSET('Government Impact_baseline'!$C$268,'Sensitivity 2'!$AV$4,'Sensitivity 2'!AV23)</f>
        <v>-1424932.3938761</v>
      </c>
    </row>
    <row r="24" spans="2:55" x14ac:dyDescent="0.3">
      <c r="L24" s="141" t="s">
        <v>134</v>
      </c>
      <c r="M24" s="141"/>
      <c r="N24" s="141"/>
      <c r="O24" s="141"/>
      <c r="P24" s="141"/>
      <c r="Q24" s="142"/>
      <c r="R24" s="142"/>
      <c r="S24" s="142"/>
      <c r="T24" s="142"/>
      <c r="AV24" s="155">
        <v>20</v>
      </c>
      <c r="AW24" s="150">
        <f ca="1">OFFSET('Government Impact_baseline'!$C$32,'Sensitivity 2'!$AV$4,'Sensitivity 2'!AV24)</f>
        <v>-1351772.6648243535</v>
      </c>
      <c r="AX24" s="150">
        <f ca="1">OFFSET('Government Impact_baseline'!$C$72,'Sensitivity 2'!$AV$4,'Sensitivity 2'!AV24)</f>
        <v>-1351772.6648243535</v>
      </c>
      <c r="AY24" s="150">
        <f ca="1">OFFSET('Government Impact_baseline'!$C$112,'Sensitivity 2'!$AV$4,'Sensitivity 2'!AV24)</f>
        <v>-1351772.6648243535</v>
      </c>
      <c r="AZ24" s="150">
        <f ca="1">OFFSET('Government Impact_baseline'!$C$151,'Sensitivity 2'!$AV$4,'Sensitivity 2'!AV24)</f>
        <v>-1351772.6648243535</v>
      </c>
      <c r="BA24" s="150">
        <f ca="1">OFFSET('Government Impact_baseline'!$C$190,'Sensitivity 2'!$AV$4,'Sensitivity 2'!AV24)</f>
        <v>-1351772.6648243535</v>
      </c>
      <c r="BB24" s="150">
        <f ca="1">OFFSET('Government Impact_baseline'!$C$229,'Sensitivity 2'!$AV$4,'Sensitivity 2'!AV24)</f>
        <v>-1351772.6648243535</v>
      </c>
      <c r="BC24" s="150">
        <f ca="1">OFFSET('Government Impact_baseline'!$C$268,'Sensitivity 2'!$AV$4,'Sensitivity 2'!AV24)</f>
        <v>-1351772.6648243535</v>
      </c>
    </row>
    <row r="25" spans="2:55" x14ac:dyDescent="0.3">
      <c r="L25" s="147">
        <f>$D$15</f>
        <v>13519734.310923001</v>
      </c>
      <c r="M25" s="166">
        <f t="shared" ref="M25:T25" si="3">+M28</f>
        <v>2000</v>
      </c>
      <c r="N25" s="166">
        <f t="shared" si="3"/>
        <v>4000</v>
      </c>
      <c r="O25" s="166">
        <f t="shared" si="3"/>
        <v>6000</v>
      </c>
      <c r="P25" s="167">
        <f t="shared" si="3"/>
        <v>8000</v>
      </c>
      <c r="Q25" s="167">
        <f t="shared" si="3"/>
        <v>10000</v>
      </c>
      <c r="R25" s="167">
        <f t="shared" si="3"/>
        <v>12000</v>
      </c>
      <c r="S25" s="167">
        <f t="shared" si="3"/>
        <v>14000</v>
      </c>
      <c r="T25" s="167">
        <f t="shared" si="3"/>
        <v>16000</v>
      </c>
      <c r="AV25" s="155">
        <v>21</v>
      </c>
      <c r="AW25" s="150">
        <f ca="1">OFFSET('Government Impact_baseline'!$C$32,'Sensitivity 2'!$AV$4,'Sensitivity 2'!AV25)</f>
        <v>-1278893.1355014166</v>
      </c>
      <c r="AX25" s="150">
        <f ca="1">OFFSET('Government Impact_baseline'!$C$72,'Sensitivity 2'!$AV$4,'Sensitivity 2'!AV25)</f>
        <v>-1278893.1355014166</v>
      </c>
      <c r="AY25" s="150">
        <f ca="1">OFFSET('Government Impact_baseline'!$C$112,'Sensitivity 2'!$AV$4,'Sensitivity 2'!AV25)</f>
        <v>-1278893.1355014166</v>
      </c>
      <c r="AZ25" s="150">
        <f ca="1">OFFSET('Government Impact_baseline'!$C$151,'Sensitivity 2'!$AV$4,'Sensitivity 2'!AV25)</f>
        <v>-1278893.1355014166</v>
      </c>
      <c r="BA25" s="150">
        <f ca="1">OFFSET('Government Impact_baseline'!$C$190,'Sensitivity 2'!$AV$4,'Sensitivity 2'!AV25)</f>
        <v>-1278893.1355014166</v>
      </c>
      <c r="BB25" s="150">
        <f ca="1">OFFSET('Government Impact_baseline'!$C$229,'Sensitivity 2'!$AV$4,'Sensitivity 2'!AV25)</f>
        <v>-1278893.1355014166</v>
      </c>
      <c r="BC25" s="150">
        <f ca="1">OFFSET('Government Impact_baseline'!$C$268,'Sensitivity 2'!$AV$4,'Sensitivity 2'!AV25)</f>
        <v>-1278893.1355014166</v>
      </c>
    </row>
    <row r="26" spans="2:55" x14ac:dyDescent="0.3">
      <c r="L26" s="151" t="s">
        <v>129</v>
      </c>
      <c r="M26" s="153">
        <f t="dataTable" ref="M26:T26" dt2D="1" dtr="1" r1="D7" r2="M1" ca="1"/>
        <v>15319486.567587093</v>
      </c>
      <c r="N26" s="153">
        <v>14719569.14869906</v>
      </c>
      <c r="O26" s="153">
        <v>14119651.72981103</v>
      </c>
      <c r="P26" s="164">
        <v>13519734.310923001</v>
      </c>
      <c r="Q26" s="154">
        <v>12919816.892034966</v>
      </c>
      <c r="R26" s="154">
        <v>12319899.473146936</v>
      </c>
      <c r="S26" s="154">
        <v>11719982.054258909</v>
      </c>
      <c r="T26" s="154">
        <v>11120064.635370877</v>
      </c>
      <c r="AV26" s="155">
        <v>22</v>
      </c>
      <c r="AW26" s="150">
        <f ca="1">OFFSET('Government Impact_baseline'!$C$32,'Sensitivity 2'!$AV$4,'Sensitivity 2'!AV26)</f>
        <v>-1206298.0089032212</v>
      </c>
      <c r="AX26" s="150">
        <f ca="1">OFFSET('Government Impact_baseline'!$C$72,'Sensitivity 2'!$AV$4,'Sensitivity 2'!AV26)</f>
        <v>-1206298.0089032212</v>
      </c>
      <c r="AY26" s="150">
        <f ca="1">OFFSET('Government Impact_baseline'!$C$112,'Sensitivity 2'!$AV$4,'Sensitivity 2'!AV26)</f>
        <v>-1206298.0089032212</v>
      </c>
      <c r="AZ26" s="150">
        <f ca="1">OFFSET('Government Impact_baseline'!$C$151,'Sensitivity 2'!$AV$4,'Sensitivity 2'!AV26)</f>
        <v>-1206298.0089032212</v>
      </c>
      <c r="BA26" s="150">
        <f ca="1">OFFSET('Government Impact_baseline'!$C$190,'Sensitivity 2'!$AV$4,'Sensitivity 2'!AV26)</f>
        <v>-1206298.0089032212</v>
      </c>
      <c r="BB26" s="150">
        <f ca="1">OFFSET('Government Impact_baseline'!$C$229,'Sensitivity 2'!$AV$4,'Sensitivity 2'!AV26)</f>
        <v>-1206298.0089032212</v>
      </c>
      <c r="BC26" s="150">
        <f ca="1">OFFSET('Government Impact_baseline'!$C$268,'Sensitivity 2'!$AV$4,'Sensitivity 2'!AV26)</f>
        <v>-1206298.0089032212</v>
      </c>
    </row>
    <row r="27" spans="2:55" x14ac:dyDescent="0.3">
      <c r="AV27" s="155">
        <v>23</v>
      </c>
      <c r="AW27" s="150">
        <f ca="1">OFFSET('Government Impact_baseline'!$C$32,'Sensitivity 2'!$AV$4,'Sensitivity 2'!AV27)</f>
        <v>-1133991.5510706385</v>
      </c>
      <c r="AX27" s="150">
        <f ca="1">OFFSET('Government Impact_baseline'!$C$72,'Sensitivity 2'!$AV$4,'Sensitivity 2'!AV27)</f>
        <v>-1133991.5510706385</v>
      </c>
      <c r="AY27" s="150">
        <f ca="1">OFFSET('Government Impact_baseline'!$C$112,'Sensitivity 2'!$AV$4,'Sensitivity 2'!AV27)</f>
        <v>-1133991.5510706385</v>
      </c>
      <c r="AZ27" s="150">
        <f ca="1">OFFSET('Government Impact_baseline'!$C$151,'Sensitivity 2'!$AV$4,'Sensitivity 2'!AV27)</f>
        <v>-1133991.5510706385</v>
      </c>
      <c r="BA27" s="150">
        <f ca="1">OFFSET('Government Impact_baseline'!$C$190,'Sensitivity 2'!$AV$4,'Sensitivity 2'!AV27)</f>
        <v>-1133991.5510706385</v>
      </c>
      <c r="BB27" s="150">
        <f ca="1">OFFSET('Government Impact_baseline'!$C$229,'Sensitivity 2'!$AV$4,'Sensitivity 2'!AV27)</f>
        <v>-1133991.5510706385</v>
      </c>
      <c r="BC27" s="150">
        <f ca="1">OFFSET('Government Impact_baseline'!$C$268,'Sensitivity 2'!$AV$4,'Sensitivity 2'!AV27)</f>
        <v>-1133991.5510706385</v>
      </c>
    </row>
    <row r="28" spans="2:55" x14ac:dyDescent="0.3">
      <c r="L28" s="147">
        <f>$D$18</f>
        <v>22276236.891201608</v>
      </c>
      <c r="M28" s="166">
        <f>N28-2000</f>
        <v>2000</v>
      </c>
      <c r="N28" s="166">
        <f>O28-2000</f>
        <v>4000</v>
      </c>
      <c r="O28" s="166">
        <f>P28-2000</f>
        <v>6000</v>
      </c>
      <c r="P28" s="167">
        <v>8000</v>
      </c>
      <c r="Q28" s="167">
        <f>P28+2000</f>
        <v>10000</v>
      </c>
      <c r="R28" s="167">
        <f>Q28+2000</f>
        <v>12000</v>
      </c>
      <c r="S28" s="167">
        <f>R28+2000</f>
        <v>14000</v>
      </c>
      <c r="T28" s="167">
        <f>S28+2000</f>
        <v>16000</v>
      </c>
      <c r="AV28" s="155">
        <v>24</v>
      </c>
      <c r="AW28" s="150">
        <f ca="1">OFFSET('Government Impact_baseline'!$C$32,'Sensitivity 2'!$AV$4,'Sensitivity 2'!AV28)</f>
        <v>-1061978.041062779</v>
      </c>
      <c r="AX28" s="150">
        <f ca="1">OFFSET('Government Impact_baseline'!$C$72,'Sensitivity 2'!$AV$4,'Sensitivity 2'!AV28)</f>
        <v>-1061978.041062779</v>
      </c>
      <c r="AY28" s="150">
        <f ca="1">OFFSET('Government Impact_baseline'!$C$112,'Sensitivity 2'!$AV$4,'Sensitivity 2'!AV28)</f>
        <v>-1061978.041062779</v>
      </c>
      <c r="AZ28" s="150">
        <f ca="1">OFFSET('Government Impact_baseline'!$C$151,'Sensitivity 2'!$AV$4,'Sensitivity 2'!AV28)</f>
        <v>-1061978.041062779</v>
      </c>
      <c r="BA28" s="150">
        <f ca="1">OFFSET('Government Impact_baseline'!$C$190,'Sensitivity 2'!$AV$4,'Sensitivity 2'!AV28)</f>
        <v>-1061978.041062779</v>
      </c>
      <c r="BB28" s="150">
        <f ca="1">OFFSET('Government Impact_baseline'!$C$229,'Sensitivity 2'!$AV$4,'Sensitivity 2'!AV28)</f>
        <v>-1061978.041062779</v>
      </c>
      <c r="BC28" s="150">
        <f ca="1">OFFSET('Government Impact_baseline'!$C$268,'Sensitivity 2'!$AV$4,'Sensitivity 2'!AV28)</f>
        <v>-1061978.041062779</v>
      </c>
    </row>
    <row r="29" spans="2:55" x14ac:dyDescent="0.3">
      <c r="L29" s="158" t="s">
        <v>131</v>
      </c>
      <c r="M29" s="153">
        <f t="dataTable" ref="M29:T29" dt2D="1" dtr="1" r1="D7" r2="M1" ca="1"/>
        <v>20476484.634537518</v>
      </c>
      <c r="N29" s="153">
        <v>21076402.053425547</v>
      </c>
      <c r="O29" s="153">
        <v>21676319.472313583</v>
      </c>
      <c r="P29" s="164">
        <v>22276236.891201608</v>
      </c>
      <c r="Q29" s="154">
        <v>22876154.310089637</v>
      </c>
      <c r="R29" s="154">
        <v>23476071.728977669</v>
      </c>
      <c r="S29" s="154">
        <v>24075989.147865694</v>
      </c>
      <c r="T29" s="154">
        <v>24675906.56675373</v>
      </c>
      <c r="AW29" s="168">
        <f t="shared" ref="AW29:BC29" ca="1" si="4">+SUM(AW4:AW28)</f>
        <v>-63291966.563867465</v>
      </c>
      <c r="AX29" s="168">
        <f t="shared" ca="1" si="4"/>
        <v>-63291966.563867465</v>
      </c>
      <c r="AY29" s="168">
        <f t="shared" ca="1" si="4"/>
        <v>-63291966.563867465</v>
      </c>
      <c r="AZ29" s="168">
        <f t="shared" ca="1" si="4"/>
        <v>-63291966.563867465</v>
      </c>
      <c r="BA29" s="168">
        <f t="shared" ca="1" si="4"/>
        <v>-63291966.563867465</v>
      </c>
      <c r="BB29" s="168">
        <f t="shared" ca="1" si="4"/>
        <v>-63291966.563867465</v>
      </c>
      <c r="BC29" s="168">
        <f t="shared" ca="1" si="4"/>
        <v>-63291966.563867465</v>
      </c>
    </row>
    <row r="30" spans="2:55" x14ac:dyDescent="0.3">
      <c r="AW30" s="168"/>
      <c r="AX30" s="168"/>
      <c r="AY30" s="168"/>
      <c r="AZ30" s="168"/>
      <c r="BA30" s="168"/>
      <c r="BB30" s="168"/>
      <c r="BC30" s="168"/>
    </row>
    <row r="31" spans="2:55" x14ac:dyDescent="0.3">
      <c r="L31" s="147">
        <f>D19</f>
        <v>35795971.202124618</v>
      </c>
      <c r="M31" s="166">
        <f t="shared" ref="M31:T31" si="5">+M28</f>
        <v>2000</v>
      </c>
      <c r="N31" s="166">
        <f t="shared" si="5"/>
        <v>4000</v>
      </c>
      <c r="O31" s="166">
        <f t="shared" si="5"/>
        <v>6000</v>
      </c>
      <c r="P31" s="167">
        <f t="shared" si="5"/>
        <v>8000</v>
      </c>
      <c r="Q31" s="167">
        <f t="shared" si="5"/>
        <v>10000</v>
      </c>
      <c r="R31" s="167">
        <f t="shared" si="5"/>
        <v>12000</v>
      </c>
      <c r="S31" s="167">
        <f t="shared" si="5"/>
        <v>14000</v>
      </c>
      <c r="T31" s="167">
        <f t="shared" si="5"/>
        <v>16000</v>
      </c>
      <c r="AV31" s="136"/>
    </row>
    <row r="32" spans="2:55" x14ac:dyDescent="0.3">
      <c r="L32" s="151" t="s">
        <v>130</v>
      </c>
      <c r="M32" s="153">
        <f t="dataTable" ref="M32:T32" dt2D="1" dtr="1" r1="D7" r2="M1" ca="1"/>
        <v>35795971.202124618</v>
      </c>
      <c r="N32" s="153">
        <v>35795971.202124618</v>
      </c>
      <c r="O32" s="153">
        <v>35795971.202124618</v>
      </c>
      <c r="P32" s="164">
        <v>35795971.202124618</v>
      </c>
      <c r="Q32" s="154">
        <v>35795971.202124618</v>
      </c>
      <c r="R32" s="154">
        <v>35795971.202124618</v>
      </c>
      <c r="S32" s="154">
        <v>35795971.202124618</v>
      </c>
      <c r="T32" s="154">
        <v>35795971.202124618</v>
      </c>
      <c r="AV32" s="143" t="s">
        <v>122</v>
      </c>
      <c r="AW32" s="143"/>
      <c r="AX32" s="143"/>
      <c r="AY32" s="143"/>
      <c r="AZ32" s="143"/>
      <c r="BA32" s="143"/>
      <c r="BB32" s="143"/>
      <c r="BC32" s="143"/>
    </row>
    <row r="33" spans="12:55" x14ac:dyDescent="0.3">
      <c r="AV33" s="150">
        <f>+SUM('Government Impact_baseline'!C17:Z17)</f>
        <v>18367942.194474809</v>
      </c>
      <c r="AW33" s="135" t="s">
        <v>136</v>
      </c>
      <c r="AX33" s="135" t="s">
        <v>159</v>
      </c>
      <c r="AY33" s="135" t="s">
        <v>153</v>
      </c>
      <c r="AZ33" s="135" t="str">
        <f t="shared" ref="AZ33:BC33" si="6">AZ3</f>
        <v>Exchange rate</v>
      </c>
      <c r="BA33" s="135" t="str">
        <f t="shared" si="6"/>
        <v>Price Risk</v>
      </c>
      <c r="BB33" s="135" t="str">
        <f t="shared" si="6"/>
        <v>Subsidy Policy</v>
      </c>
      <c r="BC33" s="135" t="str">
        <f t="shared" si="6"/>
        <v>Combined</v>
      </c>
    </row>
    <row r="34" spans="12:55" x14ac:dyDescent="0.3">
      <c r="L34" s="136" t="s">
        <v>128</v>
      </c>
      <c r="AV34" s="155">
        <v>0</v>
      </c>
      <c r="AW34" s="150">
        <f ca="1">OFFSET('Government Impact_baseline'!$C$17,'Sensitivity 2'!$AV$34,'Sensitivity 2'!AV34)</f>
        <v>1875000</v>
      </c>
      <c r="AX34" s="150">
        <f ca="1">OFFSET('Government Impact_baseline'!$C$57,'Sensitivity 2'!$AV$34,'Sensitivity 2'!AV34)</f>
        <v>1875000</v>
      </c>
      <c r="AY34" s="150">
        <f ca="1">OFFSET('Government Impact_baseline'!$C$97,'Sensitivity 2'!$AV$34,'Sensitivity 2'!AV34)</f>
        <v>1875000</v>
      </c>
      <c r="AZ34" s="150">
        <f ca="1">OFFSET('Government Impact_baseline'!$C$136,'Sensitivity 2'!$AV$34,'Sensitivity 2'!AV34)</f>
        <v>1875000</v>
      </c>
      <c r="BA34" s="150">
        <f ca="1">OFFSET('Government Impact_baseline'!$C$175,'Sensitivity 2'!$AV$34,'Sensitivity 2'!AV34)</f>
        <v>1875000</v>
      </c>
      <c r="BB34" s="150">
        <f ca="1">OFFSET('Government Impact_baseline'!$C$214,'Sensitivity 2'!$AV$34,'Sensitivity 2'!AV34)</f>
        <v>1875000</v>
      </c>
      <c r="BC34" s="150">
        <f ca="1">OFFSET('Government Impact_baseline'!$C$253,'Sensitivity 2'!$AV$34,'Sensitivity 2'!AV34)</f>
        <v>1875000</v>
      </c>
    </row>
    <row r="35" spans="12:55" x14ac:dyDescent="0.3">
      <c r="L35" s="141" t="s">
        <v>135</v>
      </c>
      <c r="M35" s="141"/>
      <c r="N35" s="141"/>
      <c r="O35" s="141"/>
      <c r="P35" s="141"/>
      <c r="Q35" s="142"/>
      <c r="R35" s="142"/>
      <c r="S35" s="142"/>
      <c r="T35" s="142"/>
      <c r="AV35" s="155">
        <v>1</v>
      </c>
      <c r="AW35" s="150">
        <f ca="1">OFFSET('Government Impact_baseline'!$C$17,'Sensitivity 2'!$AV$34,'Sensitivity 2'!AV35)</f>
        <v>2471524.9999999995</v>
      </c>
      <c r="AX35" s="150">
        <f ca="1">OFFSET('Government Impact_baseline'!$C$57,'Sensitivity 2'!$AV$34,'Sensitivity 2'!AV35)</f>
        <v>2471524.9999999995</v>
      </c>
      <c r="AY35" s="150">
        <f ca="1">OFFSET('Government Impact_baseline'!$C$97,'Sensitivity 2'!$AV$34,'Sensitivity 2'!AV35)</f>
        <v>2471524.9999999995</v>
      </c>
      <c r="AZ35" s="150">
        <f ca="1">OFFSET('Government Impact_baseline'!$C$136,'Sensitivity 2'!$AV$34,'Sensitivity 2'!AV35)</f>
        <v>2471524.9999999995</v>
      </c>
      <c r="BA35" s="150">
        <f ca="1">OFFSET('Government Impact_baseline'!$C$175,'Sensitivity 2'!$AV$34,'Sensitivity 2'!AV35)</f>
        <v>2471524.9999999995</v>
      </c>
      <c r="BB35" s="150">
        <f ca="1">OFFSET('Government Impact_baseline'!$C$214,'Sensitivity 2'!$AV$34,'Sensitivity 2'!AV35)</f>
        <v>2471524.9999999995</v>
      </c>
      <c r="BC35" s="150">
        <f ca="1">OFFSET('Government Impact_baseline'!$C$253,'Sensitivity 2'!$AV$34,'Sensitivity 2'!AV35)</f>
        <v>2471524.9999999995</v>
      </c>
    </row>
    <row r="36" spans="12:55" x14ac:dyDescent="0.3">
      <c r="L36" s="147">
        <f>$D$18</f>
        <v>22276236.891201608</v>
      </c>
      <c r="M36" s="148">
        <f>N36-0.1</f>
        <v>0.20000000000000004</v>
      </c>
      <c r="N36" s="148">
        <f>O36-0.1</f>
        <v>0.30000000000000004</v>
      </c>
      <c r="O36" s="148">
        <f>P36-0.1</f>
        <v>0.4</v>
      </c>
      <c r="P36" s="149">
        <v>0.5</v>
      </c>
      <c r="Q36" s="149">
        <f>P36+0.1</f>
        <v>0.6</v>
      </c>
      <c r="R36" s="149">
        <f>Q36+0.1</f>
        <v>0.7</v>
      </c>
      <c r="S36" s="149">
        <f>R36+0.1</f>
        <v>0.79999999999999993</v>
      </c>
      <c r="T36" s="149">
        <f>S36+0.1</f>
        <v>0.89999999999999991</v>
      </c>
      <c r="AV36" s="155">
        <v>2</v>
      </c>
      <c r="AW36" s="150">
        <f ca="1">OFFSET('Government Impact_baseline'!$C$17,'Sensitivity 2'!$AV$34,'Sensitivity 2'!AV36)</f>
        <v>4422240.8124999991</v>
      </c>
      <c r="AX36" s="150">
        <f ca="1">OFFSET('Government Impact_baseline'!$C$57,'Sensitivity 2'!$AV$34,'Sensitivity 2'!AV36)</f>
        <v>4422240.8124999991</v>
      </c>
      <c r="AY36" s="150">
        <f ca="1">OFFSET('Government Impact_baseline'!$C$97,'Sensitivity 2'!$AV$34,'Sensitivity 2'!AV36)</f>
        <v>4422240.8124999991</v>
      </c>
      <c r="AZ36" s="150">
        <f ca="1">OFFSET('Government Impact_baseline'!$C$136,'Sensitivity 2'!$AV$34,'Sensitivity 2'!AV36)</f>
        <v>4422240.8124999991</v>
      </c>
      <c r="BA36" s="150">
        <f ca="1">OFFSET('Government Impact_baseline'!$C$175,'Sensitivity 2'!$AV$34,'Sensitivity 2'!AV36)</f>
        <v>4422240.8124999991</v>
      </c>
      <c r="BB36" s="150">
        <f ca="1">OFFSET('Government Impact_baseline'!$C$214,'Sensitivity 2'!$AV$34,'Sensitivity 2'!AV36)</f>
        <v>4422240.8124999991</v>
      </c>
      <c r="BC36" s="150">
        <f ca="1">OFFSET('Government Impact_baseline'!$C$253,'Sensitivity 2'!$AV$34,'Sensitivity 2'!AV36)</f>
        <v>4422240.8124999991</v>
      </c>
    </row>
    <row r="37" spans="12:55" x14ac:dyDescent="0.3">
      <c r="L37" s="158" t="s">
        <v>131</v>
      </c>
      <c r="M37" s="153">
        <f t="dataTable" ref="M37:T37" dt2D="1" dtr="1" r1="D13" r2="M1" ca="1"/>
        <v>20522994.771670312</v>
      </c>
      <c r="N37" s="153">
        <v>21107408.811514076</v>
      </c>
      <c r="O37" s="153">
        <v>21691822.85135784</v>
      </c>
      <c r="P37" s="164">
        <v>22276236.891201608</v>
      </c>
      <c r="Q37" s="154">
        <v>22860650.931045379</v>
      </c>
      <c r="R37" s="154">
        <v>23445064.970889147</v>
      </c>
      <c r="S37" s="154">
        <v>24029479.010732912</v>
      </c>
      <c r="T37" s="154">
        <v>24613893.050576679</v>
      </c>
      <c r="AV37" s="155">
        <v>3</v>
      </c>
      <c r="AW37" s="150">
        <f ca="1">OFFSET('Government Impact_baseline'!$C$17,'Sensitivity 2'!$AV$34,'Sensitivity 2'!AV37)</f>
        <v>5668204.1995249977</v>
      </c>
      <c r="AX37" s="150">
        <f ca="1">OFFSET('Government Impact_baseline'!$C$57,'Sensitivity 2'!$AV$34,'Sensitivity 2'!AV37)</f>
        <v>5668204.1995249977</v>
      </c>
      <c r="AY37" s="150">
        <f ca="1">OFFSET('Government Impact_baseline'!$C$97,'Sensitivity 2'!$AV$34,'Sensitivity 2'!AV37)</f>
        <v>5668204.1995249977</v>
      </c>
      <c r="AZ37" s="150">
        <f ca="1">OFFSET('Government Impact_baseline'!$C$136,'Sensitivity 2'!$AV$34,'Sensitivity 2'!AV37)</f>
        <v>5668204.1995249977</v>
      </c>
      <c r="BA37" s="150">
        <f ca="1">OFFSET('Government Impact_baseline'!$C$175,'Sensitivity 2'!$AV$34,'Sensitivity 2'!AV37)</f>
        <v>5668204.1995249977</v>
      </c>
      <c r="BB37" s="150">
        <f ca="1">OFFSET('Government Impact_baseline'!$C$214,'Sensitivity 2'!$AV$34,'Sensitivity 2'!AV37)</f>
        <v>5668204.1995249977</v>
      </c>
      <c r="BC37" s="150">
        <f ca="1">OFFSET('Government Impact_baseline'!$C$253,'Sensitivity 2'!$AV$34,'Sensitivity 2'!AV37)</f>
        <v>5668204.1995249977</v>
      </c>
    </row>
    <row r="38" spans="12:55" x14ac:dyDescent="0.3">
      <c r="AV38" s="155">
        <v>4</v>
      </c>
      <c r="AW38" s="150">
        <f ca="1">OFFSET('Government Impact_baseline'!$C$17,'Sensitivity 2'!$AV$34,'Sensitivity 2'!AV38)</f>
        <v>3930972.1824498107</v>
      </c>
      <c r="AX38" s="150">
        <f ca="1">OFFSET('Government Impact_baseline'!$C$57,'Sensitivity 2'!$AV$34,'Sensitivity 2'!AV38)</f>
        <v>3930972.1824498107</v>
      </c>
      <c r="AY38" s="150">
        <f ca="1">OFFSET('Government Impact_baseline'!$C$97,'Sensitivity 2'!$AV$34,'Sensitivity 2'!AV38)</f>
        <v>3930972.1824498107</v>
      </c>
      <c r="AZ38" s="150">
        <f ca="1">OFFSET('Government Impact_baseline'!$C$136,'Sensitivity 2'!$AV$34,'Sensitivity 2'!AV38)</f>
        <v>3930972.1824498107</v>
      </c>
      <c r="BA38" s="150">
        <f ca="1">OFFSET('Government Impact_baseline'!$C$175,'Sensitivity 2'!$AV$34,'Sensitivity 2'!AV38)</f>
        <v>3930972.1824498107</v>
      </c>
      <c r="BB38" s="150">
        <f ca="1">OFFSET('Government Impact_baseline'!$C$214,'Sensitivity 2'!$AV$34,'Sensitivity 2'!AV38)</f>
        <v>3930972.1824498107</v>
      </c>
      <c r="BC38" s="150">
        <f ca="1">OFFSET('Government Impact_baseline'!$C$253,'Sensitivity 2'!$AV$34,'Sensitivity 2'!AV38)</f>
        <v>3930972.1824498107</v>
      </c>
    </row>
    <row r="39" spans="12:55" x14ac:dyDescent="0.3">
      <c r="L39" s="136" t="s">
        <v>128</v>
      </c>
      <c r="AW39" s="168">
        <f t="shared" ref="AW39:BC39" ca="1" si="7">SUM(AW34:AW38)</f>
        <v>18367942.194474809</v>
      </c>
      <c r="AX39" s="168">
        <f t="shared" ca="1" si="7"/>
        <v>18367942.194474809</v>
      </c>
      <c r="AY39" s="168">
        <f t="shared" ca="1" si="7"/>
        <v>18367942.194474809</v>
      </c>
      <c r="AZ39" s="168">
        <f t="shared" ca="1" si="7"/>
        <v>18367942.194474809</v>
      </c>
      <c r="BA39" s="168">
        <f t="shared" ca="1" si="7"/>
        <v>18367942.194474809</v>
      </c>
      <c r="BB39" s="168">
        <f t="shared" ca="1" si="7"/>
        <v>18367942.194474809</v>
      </c>
      <c r="BC39" s="168">
        <f t="shared" ca="1" si="7"/>
        <v>18367942.194474809</v>
      </c>
    </row>
    <row r="40" spans="12:55" x14ac:dyDescent="0.3">
      <c r="L40" s="141" t="s">
        <v>143</v>
      </c>
      <c r="M40" s="141"/>
      <c r="N40" s="141"/>
      <c r="O40" s="141"/>
      <c r="P40" s="141"/>
      <c r="Q40" s="142"/>
      <c r="R40" s="142"/>
      <c r="S40" s="142"/>
      <c r="T40" s="142"/>
      <c r="AW40" s="169"/>
      <c r="AX40" s="169"/>
      <c r="AY40" s="169"/>
      <c r="AZ40" s="169"/>
      <c r="BA40" s="169"/>
      <c r="BB40" s="169"/>
      <c r="BC40" s="169"/>
    </row>
    <row r="41" spans="12:55" x14ac:dyDescent="0.3">
      <c r="L41" s="147">
        <f>$D$15</f>
        <v>13519734.310923001</v>
      </c>
      <c r="M41" s="166">
        <f t="shared" ref="M41:T41" si="8">+M44</f>
        <v>50</v>
      </c>
      <c r="N41" s="166">
        <f t="shared" si="8"/>
        <v>250</v>
      </c>
      <c r="O41" s="166">
        <f t="shared" si="8"/>
        <v>450</v>
      </c>
      <c r="P41" s="167">
        <f t="shared" si="8"/>
        <v>650</v>
      </c>
      <c r="Q41" s="167">
        <f t="shared" si="8"/>
        <v>850</v>
      </c>
      <c r="R41" s="167">
        <f t="shared" si="8"/>
        <v>1050</v>
      </c>
      <c r="S41" s="167">
        <f t="shared" si="8"/>
        <v>1250</v>
      </c>
      <c r="T41" s="167">
        <f t="shared" si="8"/>
        <v>1450</v>
      </c>
      <c r="AV41" s="143" t="s">
        <v>162</v>
      </c>
      <c r="AW41" s="143"/>
      <c r="AX41" s="143"/>
      <c r="AY41" s="143"/>
      <c r="AZ41" s="143"/>
      <c r="BA41" s="143"/>
      <c r="BB41" s="143"/>
      <c r="BC41" s="143"/>
    </row>
    <row r="42" spans="12:55" x14ac:dyDescent="0.3">
      <c r="L42" s="151" t="s">
        <v>129</v>
      </c>
      <c r="M42" s="153">
        <f t="dataTable" ref="M42:T42" dt2D="1" dtr="1" r1="D10" r2="M1" ca="1"/>
        <v>23629347.057550743</v>
      </c>
      <c r="N42" s="153">
        <v>23494101.402077463</v>
      </c>
      <c r="O42" s="153">
        <v>23358855.746604186</v>
      </c>
      <c r="P42" s="164">
        <v>23223610.091130901</v>
      </c>
      <c r="Q42" s="154">
        <v>23088364.435657624</v>
      </c>
      <c r="R42" s="154">
        <v>22953118.780184343</v>
      </c>
      <c r="S42" s="154">
        <v>22817873.124711066</v>
      </c>
      <c r="T42" s="154">
        <v>22682627.469237778</v>
      </c>
      <c r="AV42" s="150">
        <f>+SUM('Government Impact_baseline'!C35:Z35)</f>
        <v>222290653.85678667</v>
      </c>
      <c r="AW42" s="135" t="s">
        <v>136</v>
      </c>
      <c r="AX42" s="135" t="s">
        <v>159</v>
      </c>
      <c r="AY42" s="135" t="s">
        <v>153</v>
      </c>
      <c r="AZ42" s="135" t="str">
        <f t="shared" ref="AZ42:BC42" si="9">AZ33</f>
        <v>Exchange rate</v>
      </c>
      <c r="BA42" s="135" t="str">
        <f t="shared" si="9"/>
        <v>Price Risk</v>
      </c>
      <c r="BB42" s="135" t="str">
        <f t="shared" si="9"/>
        <v>Subsidy Policy</v>
      </c>
      <c r="BC42" s="135" t="str">
        <f t="shared" si="9"/>
        <v>Combined</v>
      </c>
    </row>
    <row r="43" spans="12:55" x14ac:dyDescent="0.3">
      <c r="AV43" s="155">
        <v>0</v>
      </c>
      <c r="AW43" s="150">
        <f ca="1">OFFSET('Government Impact_baseline'!$C$35,'Sensitivity 2'!$AV$43,'Sensitivity 2'!AV43)</f>
        <v>1875000</v>
      </c>
      <c r="AX43" s="150">
        <f ca="1">OFFSET('Government Impact_baseline'!$C$75,'Sensitivity 2'!$AV$43,'Sensitivity 2'!AV43)</f>
        <v>1875000</v>
      </c>
      <c r="AY43" s="150">
        <f ca="1">OFFSET('Government Impact_baseline'!$C$115,'Sensitivity 2'!$AV$43,'Sensitivity 2'!AV43)</f>
        <v>1875000</v>
      </c>
      <c r="AZ43" s="150">
        <f ca="1">OFFSET('Government Impact_baseline'!$C$154,'Sensitivity 2'!$AV$43,'Sensitivity 2'!AV43)</f>
        <v>1875000</v>
      </c>
      <c r="BA43" s="150">
        <f ca="1">OFFSET('Government Impact_baseline'!$C$193,'Sensitivity 2'!$AV$43,'Sensitivity 2'!AV43)</f>
        <v>1875000</v>
      </c>
      <c r="BB43" s="150">
        <f ca="1">OFFSET('Government Impact_baseline'!$C$232,'Sensitivity 2'!$AV$43,'Sensitivity 2'!AV43)</f>
        <v>1875000</v>
      </c>
      <c r="BC43" s="150">
        <f ca="1">OFFSET('Government Impact_baseline'!$C$271,'Sensitivity 2'!$AV$43,'Sensitivity 2'!AV43)</f>
        <v>1875000</v>
      </c>
    </row>
    <row r="44" spans="12:55" x14ac:dyDescent="0.3">
      <c r="L44" s="147">
        <f>$D$18</f>
        <v>22276236.891201608</v>
      </c>
      <c r="M44" s="166">
        <f>N44-200</f>
        <v>50</v>
      </c>
      <c r="N44" s="166">
        <f>O44-200</f>
        <v>250</v>
      </c>
      <c r="O44" s="166">
        <f>P44-200</f>
        <v>450</v>
      </c>
      <c r="P44" s="167">
        <v>650</v>
      </c>
      <c r="Q44" s="167">
        <f>P44+200</f>
        <v>850</v>
      </c>
      <c r="R44" s="167">
        <f>Q44+200</f>
        <v>1050</v>
      </c>
      <c r="S44" s="167">
        <f>R44+200</f>
        <v>1250</v>
      </c>
      <c r="T44" s="167">
        <f>S44+200</f>
        <v>1450</v>
      </c>
      <c r="AV44" s="155">
        <v>1</v>
      </c>
      <c r="AW44" s="150">
        <f ca="1">OFFSET('Government Impact_baseline'!$C$35,'Sensitivity 2'!$AV$43,'Sensitivity 2'!AV44)</f>
        <v>4346525</v>
      </c>
      <c r="AX44" s="150">
        <f ca="1">OFFSET('Government Impact_baseline'!$C$75,'Sensitivity 2'!$AV$43,'Sensitivity 2'!AV44)</f>
        <v>4346525</v>
      </c>
      <c r="AY44" s="150">
        <f ca="1">OFFSET('Government Impact_baseline'!$C$115,'Sensitivity 2'!$AV$43,'Sensitivity 2'!AV44)</f>
        <v>4346525</v>
      </c>
      <c r="AZ44" s="150">
        <f ca="1">OFFSET('Government Impact_baseline'!$C$154,'Sensitivity 2'!$AV$43,'Sensitivity 2'!AV44)</f>
        <v>4346525</v>
      </c>
      <c r="BA44" s="150">
        <f ca="1">OFFSET('Government Impact_baseline'!$C$193,'Sensitivity 2'!$AV$43,'Sensitivity 2'!AV44)</f>
        <v>4346525</v>
      </c>
      <c r="BB44" s="150">
        <f ca="1">OFFSET('Government Impact_baseline'!$C$232,'Sensitivity 2'!$AV$43,'Sensitivity 2'!AV44)</f>
        <v>4346525</v>
      </c>
      <c r="BC44" s="150">
        <f ca="1">OFFSET('Government Impact_baseline'!$C$271,'Sensitivity 2'!$AV$43,'Sensitivity 2'!AV44)</f>
        <v>4346525</v>
      </c>
    </row>
    <row r="45" spans="12:55" x14ac:dyDescent="0.3">
      <c r="L45" s="158" t="s">
        <v>131</v>
      </c>
      <c r="M45" s="153">
        <f t="dataTable" ref="M45:T45" dt2D="1" dtr="1" r1="D11" r2="M1" ca="1"/>
        <v>12913076.127666775</v>
      </c>
      <c r="N45" s="153">
        <v>16034129.715511724</v>
      </c>
      <c r="O45" s="153">
        <v>19155183.303356659</v>
      </c>
      <c r="P45" s="164">
        <v>22276236.891201608</v>
      </c>
      <c r="Q45" s="154">
        <v>25397290.479046553</v>
      </c>
      <c r="R45" s="154">
        <v>28518344.066891491</v>
      </c>
      <c r="S45" s="154">
        <v>31639397.654736433</v>
      </c>
      <c r="T45" s="154">
        <v>34760451.242581382</v>
      </c>
      <c r="AV45" s="155">
        <v>2</v>
      </c>
      <c r="AW45" s="150">
        <f ca="1">OFFSET('Government Impact_baseline'!$C$35,'Sensitivity 2'!$AV$43,'Sensitivity 2'!AV45)</f>
        <v>8768765.8125</v>
      </c>
      <c r="AX45" s="150">
        <f ca="1">OFFSET('Government Impact_baseline'!$C$75,'Sensitivity 2'!$AV$43,'Sensitivity 2'!AV45)</f>
        <v>8768765.8125</v>
      </c>
      <c r="AY45" s="150">
        <f ca="1">OFFSET('Government Impact_baseline'!$C$115,'Sensitivity 2'!$AV$43,'Sensitivity 2'!AV45)</f>
        <v>8768765.8125</v>
      </c>
      <c r="AZ45" s="150">
        <f ca="1">OFFSET('Government Impact_baseline'!$C$154,'Sensitivity 2'!$AV$43,'Sensitivity 2'!AV45)</f>
        <v>8768765.8125</v>
      </c>
      <c r="BA45" s="150">
        <f ca="1">OFFSET('Government Impact_baseline'!$C$193,'Sensitivity 2'!$AV$43,'Sensitivity 2'!AV45)</f>
        <v>8768765.8125</v>
      </c>
      <c r="BB45" s="150">
        <f ca="1">OFFSET('Government Impact_baseline'!$C$232,'Sensitivity 2'!$AV$43,'Sensitivity 2'!AV45)</f>
        <v>8768765.8125</v>
      </c>
      <c r="BC45" s="150">
        <f ca="1">OFFSET('Government Impact_baseline'!$C$271,'Sensitivity 2'!$AV$43,'Sensitivity 2'!AV45)</f>
        <v>8768765.8125</v>
      </c>
    </row>
    <row r="46" spans="12:55" x14ac:dyDescent="0.3">
      <c r="AV46" s="155">
        <v>3</v>
      </c>
      <c r="AW46" s="150">
        <f ca="1">OFFSET('Government Impact_baseline'!$C$35,'Sensitivity 2'!$AV$43,'Sensitivity 2'!AV46)</f>
        <v>14436970.012024999</v>
      </c>
      <c r="AX46" s="150">
        <f ca="1">OFFSET('Government Impact_baseline'!$C$75,'Sensitivity 2'!$AV$43,'Sensitivity 2'!AV46)</f>
        <v>14436970.012024999</v>
      </c>
      <c r="AY46" s="150">
        <f ca="1">OFFSET('Government Impact_baseline'!$C$115,'Sensitivity 2'!$AV$43,'Sensitivity 2'!AV46)</f>
        <v>14436970.012024999</v>
      </c>
      <c r="AZ46" s="150">
        <f ca="1">OFFSET('Government Impact_baseline'!$C$154,'Sensitivity 2'!$AV$43,'Sensitivity 2'!AV46)</f>
        <v>14436970.012024999</v>
      </c>
      <c r="BA46" s="150">
        <f ca="1">OFFSET('Government Impact_baseline'!$C$193,'Sensitivity 2'!$AV$43,'Sensitivity 2'!AV46)</f>
        <v>14436970.012024999</v>
      </c>
      <c r="BB46" s="150">
        <f ca="1">OFFSET('Government Impact_baseline'!$C$232,'Sensitivity 2'!$AV$43,'Sensitivity 2'!AV46)</f>
        <v>14436970.012024999</v>
      </c>
      <c r="BC46" s="150">
        <f ca="1">OFFSET('Government Impact_baseline'!$C$271,'Sensitivity 2'!$AV$43,'Sensitivity 2'!AV46)</f>
        <v>14436970.012024999</v>
      </c>
    </row>
    <row r="47" spans="12:55" x14ac:dyDescent="0.3">
      <c r="L47" s="147">
        <f>+D19</f>
        <v>35795971.202124618</v>
      </c>
      <c r="M47" s="166">
        <f t="shared" ref="M47:T47" si="10">+M44</f>
        <v>50</v>
      </c>
      <c r="N47" s="166">
        <f t="shared" si="10"/>
        <v>250</v>
      </c>
      <c r="O47" s="166">
        <f t="shared" si="10"/>
        <v>450</v>
      </c>
      <c r="P47" s="167">
        <f t="shared" si="10"/>
        <v>650</v>
      </c>
      <c r="Q47" s="167">
        <f t="shared" si="10"/>
        <v>850</v>
      </c>
      <c r="R47" s="167">
        <f t="shared" si="10"/>
        <v>1050</v>
      </c>
      <c r="S47" s="167">
        <f t="shared" si="10"/>
        <v>1250</v>
      </c>
      <c r="T47" s="167">
        <f t="shared" si="10"/>
        <v>1450</v>
      </c>
      <c r="AV47" s="155">
        <v>4</v>
      </c>
      <c r="AW47" s="150">
        <f ca="1">OFFSET('Government Impact_baseline'!$C$35,'Sensitivity 2'!$AV$43,'Sensitivity 2'!AV47)</f>
        <v>18367942.194474809</v>
      </c>
      <c r="AX47" s="150">
        <f ca="1">OFFSET('Government Impact_baseline'!$C$75,'Sensitivity 2'!$AV$43,'Sensitivity 2'!AV47)</f>
        <v>18367942.194474809</v>
      </c>
      <c r="AY47" s="150">
        <f ca="1">OFFSET('Government Impact_baseline'!$C$115,'Sensitivity 2'!$AV$43,'Sensitivity 2'!AV47)</f>
        <v>18367942.194474809</v>
      </c>
      <c r="AZ47" s="150">
        <f ca="1">OFFSET('Government Impact_baseline'!$C$154,'Sensitivity 2'!$AV$43,'Sensitivity 2'!AV47)</f>
        <v>18367942.194474809</v>
      </c>
      <c r="BA47" s="150">
        <f ca="1">OFFSET('Government Impact_baseline'!$C$193,'Sensitivity 2'!$AV$43,'Sensitivity 2'!AV47)</f>
        <v>18367942.194474809</v>
      </c>
      <c r="BB47" s="150">
        <f ca="1">OFFSET('Government Impact_baseline'!$C$232,'Sensitivity 2'!$AV$43,'Sensitivity 2'!AV47)</f>
        <v>18367942.194474809</v>
      </c>
      <c r="BC47" s="150">
        <f ca="1">OFFSET('Government Impact_baseline'!$C$271,'Sensitivity 2'!$AV$43,'Sensitivity 2'!AV47)</f>
        <v>18367942.194474809</v>
      </c>
    </row>
    <row r="48" spans="12:55" x14ac:dyDescent="0.3">
      <c r="L48" s="151" t="s">
        <v>130</v>
      </c>
      <c r="M48" s="153">
        <f t="dataTable" ref="M48:T48" dt2D="1" dtr="1" r1="D11" r2="M1" ca="1"/>
        <v>35795971.202124618</v>
      </c>
      <c r="N48" s="153">
        <v>35795971.202124618</v>
      </c>
      <c r="O48" s="153">
        <v>35795971.202124618</v>
      </c>
      <c r="P48" s="164">
        <v>35795971.202124618</v>
      </c>
      <c r="Q48" s="154">
        <v>35795971.202124618</v>
      </c>
      <c r="R48" s="154">
        <v>35795971.202124618</v>
      </c>
      <c r="S48" s="154">
        <v>35795971.202124618</v>
      </c>
      <c r="T48" s="154">
        <v>35795971.202124618</v>
      </c>
      <c r="AV48" s="155">
        <v>5</v>
      </c>
      <c r="AW48" s="150">
        <f ca="1">OFFSET('Government Impact_baseline'!$C$35,'Sensitivity 2'!$AV$43,'Sensitivity 2'!AV48)</f>
        <v>17449545.08475107</v>
      </c>
      <c r="AX48" s="150">
        <f ca="1">OFFSET('Government Impact_baseline'!$C$75,'Sensitivity 2'!$AV$43,'Sensitivity 2'!AV48)</f>
        <v>17449545.08475107</v>
      </c>
      <c r="AY48" s="150">
        <f ca="1">OFFSET('Government Impact_baseline'!$C$115,'Sensitivity 2'!$AV$43,'Sensitivity 2'!AV48)</f>
        <v>17449545.08475107</v>
      </c>
      <c r="AZ48" s="150">
        <f ca="1">OFFSET('Government Impact_baseline'!$C$154,'Sensitivity 2'!$AV$43,'Sensitivity 2'!AV48)</f>
        <v>17449545.08475107</v>
      </c>
      <c r="BA48" s="150">
        <f ca="1">OFFSET('Government Impact_baseline'!$C$193,'Sensitivity 2'!$AV$43,'Sensitivity 2'!AV48)</f>
        <v>17449545.08475107</v>
      </c>
      <c r="BB48" s="150">
        <f ca="1">OFFSET('Government Impact_baseline'!$C$232,'Sensitivity 2'!$AV$43,'Sensitivity 2'!AV48)</f>
        <v>17449545.08475107</v>
      </c>
      <c r="BC48" s="150">
        <f ca="1">OFFSET('Government Impact_baseline'!$C$271,'Sensitivity 2'!$AV$43,'Sensitivity 2'!AV48)</f>
        <v>17449545.08475107</v>
      </c>
    </row>
    <row r="49" spans="48:55" x14ac:dyDescent="0.3">
      <c r="AV49" s="155">
        <v>6</v>
      </c>
      <c r="AW49" s="150">
        <f ca="1">OFFSET('Government Impact_baseline'!$C$35,'Sensitivity 2'!$AV$43,'Sensitivity 2'!AV49)</f>
        <v>16531147.975027328</v>
      </c>
      <c r="AX49" s="150">
        <f ca="1">OFFSET('Government Impact_baseline'!$C$75,'Sensitivity 2'!$AV$43,'Sensitivity 2'!AV49)</f>
        <v>16531147.975027328</v>
      </c>
      <c r="AY49" s="150">
        <f ca="1">OFFSET('Government Impact_baseline'!$C$115,'Sensitivity 2'!$AV$43,'Sensitivity 2'!AV49)</f>
        <v>16531147.975027328</v>
      </c>
      <c r="AZ49" s="150">
        <f ca="1">OFFSET('Government Impact_baseline'!$C$154,'Sensitivity 2'!$AV$43,'Sensitivity 2'!AV49)</f>
        <v>16531147.975027328</v>
      </c>
      <c r="BA49" s="150">
        <f ca="1">OFFSET('Government Impact_baseline'!$C$193,'Sensitivity 2'!$AV$43,'Sensitivity 2'!AV49)</f>
        <v>16531147.975027328</v>
      </c>
      <c r="BB49" s="150">
        <f ca="1">OFFSET('Government Impact_baseline'!$C$232,'Sensitivity 2'!$AV$43,'Sensitivity 2'!AV49)</f>
        <v>16531147.975027328</v>
      </c>
      <c r="BC49" s="150">
        <f ca="1">OFFSET('Government Impact_baseline'!$C$271,'Sensitivity 2'!$AV$43,'Sensitivity 2'!AV49)</f>
        <v>16531147.975027328</v>
      </c>
    </row>
    <row r="50" spans="48:55" x14ac:dyDescent="0.3">
      <c r="AV50" s="155">
        <v>7</v>
      </c>
      <c r="AW50" s="150">
        <f ca="1">OFFSET('Government Impact_baseline'!$C$35,'Sensitivity 2'!$AV$43,'Sensitivity 2'!AV50)</f>
        <v>15612750.865303587</v>
      </c>
      <c r="AX50" s="150">
        <f ca="1">OFFSET('Government Impact_baseline'!$C$75,'Sensitivity 2'!$AV$43,'Sensitivity 2'!AV50)</f>
        <v>15612750.865303587</v>
      </c>
      <c r="AY50" s="150">
        <f ca="1">OFFSET('Government Impact_baseline'!$C$115,'Sensitivity 2'!$AV$43,'Sensitivity 2'!AV50)</f>
        <v>15612750.865303587</v>
      </c>
      <c r="AZ50" s="150">
        <f ca="1">OFFSET('Government Impact_baseline'!$C$154,'Sensitivity 2'!$AV$43,'Sensitivity 2'!AV50)</f>
        <v>15612750.865303587</v>
      </c>
      <c r="BA50" s="150">
        <f ca="1">OFFSET('Government Impact_baseline'!$C$193,'Sensitivity 2'!$AV$43,'Sensitivity 2'!AV50)</f>
        <v>15612750.865303587</v>
      </c>
      <c r="BB50" s="150">
        <f ca="1">OFFSET('Government Impact_baseline'!$C$232,'Sensitivity 2'!$AV$43,'Sensitivity 2'!AV50)</f>
        <v>15612750.865303587</v>
      </c>
      <c r="BC50" s="150">
        <f ca="1">OFFSET('Government Impact_baseline'!$C$271,'Sensitivity 2'!$AV$43,'Sensitivity 2'!AV50)</f>
        <v>15612750.865303587</v>
      </c>
    </row>
    <row r="51" spans="48:55" x14ac:dyDescent="0.3">
      <c r="AV51" s="155">
        <v>8</v>
      </c>
      <c r="AW51" s="150">
        <f ca="1">OFFSET('Government Impact_baseline'!$C$35,'Sensitivity 2'!$AV$43,'Sensitivity 2'!AV51)</f>
        <v>14694353.755579846</v>
      </c>
      <c r="AX51" s="150">
        <f ca="1">OFFSET('Government Impact_baseline'!$C$75,'Sensitivity 2'!$AV$43,'Sensitivity 2'!AV51)</f>
        <v>14694353.755579846</v>
      </c>
      <c r="AY51" s="150">
        <f ca="1">OFFSET('Government Impact_baseline'!$C$115,'Sensitivity 2'!$AV$43,'Sensitivity 2'!AV51)</f>
        <v>14694353.755579846</v>
      </c>
      <c r="AZ51" s="150">
        <f ca="1">OFFSET('Government Impact_baseline'!$C$154,'Sensitivity 2'!$AV$43,'Sensitivity 2'!AV51)</f>
        <v>14694353.755579846</v>
      </c>
      <c r="BA51" s="150">
        <f ca="1">OFFSET('Government Impact_baseline'!$C$193,'Sensitivity 2'!$AV$43,'Sensitivity 2'!AV51)</f>
        <v>14694353.755579846</v>
      </c>
      <c r="BB51" s="150">
        <f ca="1">OFFSET('Government Impact_baseline'!$C$232,'Sensitivity 2'!$AV$43,'Sensitivity 2'!AV51)</f>
        <v>14694353.755579846</v>
      </c>
      <c r="BC51" s="150">
        <f ca="1">OFFSET('Government Impact_baseline'!$C$271,'Sensitivity 2'!$AV$43,'Sensitivity 2'!AV51)</f>
        <v>14694353.755579846</v>
      </c>
    </row>
    <row r="52" spans="48:55" x14ac:dyDescent="0.3">
      <c r="AV52" s="155">
        <v>9</v>
      </c>
      <c r="AW52" s="150">
        <f ca="1">OFFSET('Government Impact_baseline'!$C$35,'Sensitivity 2'!$AV$43,'Sensitivity 2'!AV52)</f>
        <v>13775956.645856105</v>
      </c>
      <c r="AX52" s="150">
        <f ca="1">OFFSET('Government Impact_baseline'!$C$75,'Sensitivity 2'!$AV$43,'Sensitivity 2'!AV52)</f>
        <v>13775956.645856105</v>
      </c>
      <c r="AY52" s="150">
        <f ca="1">OFFSET('Government Impact_baseline'!$C$115,'Sensitivity 2'!$AV$43,'Sensitivity 2'!AV52)</f>
        <v>13775956.645856105</v>
      </c>
      <c r="AZ52" s="150">
        <f ca="1">OFFSET('Government Impact_baseline'!$C$154,'Sensitivity 2'!$AV$43,'Sensitivity 2'!AV52)</f>
        <v>13775956.645856105</v>
      </c>
      <c r="BA52" s="150">
        <f ca="1">OFFSET('Government Impact_baseline'!$C$193,'Sensitivity 2'!$AV$43,'Sensitivity 2'!AV52)</f>
        <v>13775956.645856105</v>
      </c>
      <c r="BB52" s="150">
        <f ca="1">OFFSET('Government Impact_baseline'!$C$232,'Sensitivity 2'!$AV$43,'Sensitivity 2'!AV52)</f>
        <v>13775956.645856105</v>
      </c>
      <c r="BC52" s="150">
        <f ca="1">OFFSET('Government Impact_baseline'!$C$271,'Sensitivity 2'!$AV$43,'Sensitivity 2'!AV52)</f>
        <v>13775956.645856105</v>
      </c>
    </row>
    <row r="53" spans="48:55" x14ac:dyDescent="0.3">
      <c r="AV53" s="155">
        <v>10</v>
      </c>
      <c r="AW53" s="150">
        <f ca="1">OFFSET('Government Impact_baseline'!$C$35,'Sensitivity 2'!$AV$43,'Sensitivity 2'!AV53)</f>
        <v>12857559.536132364</v>
      </c>
      <c r="AX53" s="150">
        <f ca="1">OFFSET('Government Impact_baseline'!$C$75,'Sensitivity 2'!$AV$43,'Sensitivity 2'!AV53)</f>
        <v>12857559.536132364</v>
      </c>
      <c r="AY53" s="150">
        <f ca="1">OFFSET('Government Impact_baseline'!$C$115,'Sensitivity 2'!$AV$43,'Sensitivity 2'!AV53)</f>
        <v>12857559.536132364</v>
      </c>
      <c r="AZ53" s="150">
        <f ca="1">OFFSET('Government Impact_baseline'!$C$154,'Sensitivity 2'!$AV$43,'Sensitivity 2'!AV53)</f>
        <v>12857559.536132364</v>
      </c>
      <c r="BA53" s="150">
        <f ca="1">OFFSET('Government Impact_baseline'!$C$193,'Sensitivity 2'!$AV$43,'Sensitivity 2'!AV53)</f>
        <v>12857559.536132364</v>
      </c>
      <c r="BB53" s="150">
        <f ca="1">OFFSET('Government Impact_baseline'!$C$232,'Sensitivity 2'!$AV$43,'Sensitivity 2'!AV53)</f>
        <v>12857559.536132364</v>
      </c>
      <c r="BC53" s="150">
        <f ca="1">OFFSET('Government Impact_baseline'!$C$271,'Sensitivity 2'!$AV$43,'Sensitivity 2'!AV53)</f>
        <v>12857559.536132364</v>
      </c>
    </row>
    <row r="54" spans="48:55" x14ac:dyDescent="0.3">
      <c r="AV54" s="155">
        <v>11</v>
      </c>
      <c r="AW54" s="150">
        <f ca="1">OFFSET('Government Impact_baseline'!$C$35,'Sensitivity 2'!$AV$43,'Sensitivity 2'!AV54)</f>
        <v>11939162.426408622</v>
      </c>
      <c r="AX54" s="150">
        <f ca="1">OFFSET('Government Impact_baseline'!$C$75,'Sensitivity 2'!$AV$43,'Sensitivity 2'!AV54)</f>
        <v>11939162.426408622</v>
      </c>
      <c r="AY54" s="150">
        <f ca="1">OFFSET('Government Impact_baseline'!$C$115,'Sensitivity 2'!$AV$43,'Sensitivity 2'!AV54)</f>
        <v>11939162.426408622</v>
      </c>
      <c r="AZ54" s="150">
        <f ca="1">OFFSET('Government Impact_baseline'!$C$154,'Sensitivity 2'!$AV$43,'Sensitivity 2'!AV54)</f>
        <v>11939162.426408622</v>
      </c>
      <c r="BA54" s="150">
        <f ca="1">OFFSET('Government Impact_baseline'!$C$193,'Sensitivity 2'!$AV$43,'Sensitivity 2'!AV54)</f>
        <v>11939162.426408622</v>
      </c>
      <c r="BB54" s="150">
        <f ca="1">OFFSET('Government Impact_baseline'!$C$232,'Sensitivity 2'!$AV$43,'Sensitivity 2'!AV54)</f>
        <v>11939162.426408622</v>
      </c>
      <c r="BC54" s="150">
        <f ca="1">OFFSET('Government Impact_baseline'!$C$271,'Sensitivity 2'!$AV$43,'Sensitivity 2'!AV54)</f>
        <v>11939162.426408622</v>
      </c>
    </row>
    <row r="55" spans="48:55" x14ac:dyDescent="0.3">
      <c r="AV55" s="155">
        <v>12</v>
      </c>
      <c r="AW55" s="150">
        <f ca="1">OFFSET('Government Impact_baseline'!$C$35,'Sensitivity 2'!$AV$43,'Sensitivity 2'!AV55)</f>
        <v>11020765.316684881</v>
      </c>
      <c r="AX55" s="150">
        <f ca="1">OFFSET('Government Impact_baseline'!$C$75,'Sensitivity 2'!$AV$43,'Sensitivity 2'!AV55)</f>
        <v>11020765.316684881</v>
      </c>
      <c r="AY55" s="150">
        <f ca="1">OFFSET('Government Impact_baseline'!$C$115,'Sensitivity 2'!$AV$43,'Sensitivity 2'!AV55)</f>
        <v>11020765.316684881</v>
      </c>
      <c r="AZ55" s="150">
        <f ca="1">OFFSET('Government Impact_baseline'!$C$154,'Sensitivity 2'!$AV$43,'Sensitivity 2'!AV55)</f>
        <v>11020765.316684881</v>
      </c>
      <c r="BA55" s="150">
        <f ca="1">OFFSET('Government Impact_baseline'!$C$193,'Sensitivity 2'!$AV$43,'Sensitivity 2'!AV55)</f>
        <v>11020765.316684881</v>
      </c>
      <c r="BB55" s="150">
        <f ca="1">OFFSET('Government Impact_baseline'!$C$232,'Sensitivity 2'!$AV$43,'Sensitivity 2'!AV55)</f>
        <v>11020765.316684881</v>
      </c>
      <c r="BC55" s="150">
        <f ca="1">OFFSET('Government Impact_baseline'!$C$271,'Sensitivity 2'!$AV$43,'Sensitivity 2'!AV55)</f>
        <v>11020765.316684881</v>
      </c>
    </row>
    <row r="56" spans="48:55" x14ac:dyDescent="0.3">
      <c r="AV56" s="155">
        <v>13</v>
      </c>
      <c r="AW56" s="150">
        <f ca="1">OFFSET('Government Impact_baseline'!$C$35,'Sensitivity 2'!$AV$43,'Sensitivity 2'!AV56)</f>
        <v>10102368.20696114</v>
      </c>
      <c r="AX56" s="150">
        <f ca="1">OFFSET('Government Impact_baseline'!$C$75,'Sensitivity 2'!$AV$43,'Sensitivity 2'!AV56)</f>
        <v>10102368.20696114</v>
      </c>
      <c r="AY56" s="150">
        <f ca="1">OFFSET('Government Impact_baseline'!$C$115,'Sensitivity 2'!$AV$43,'Sensitivity 2'!AV56)</f>
        <v>10102368.20696114</v>
      </c>
      <c r="AZ56" s="150">
        <f ca="1">OFFSET('Government Impact_baseline'!$C$154,'Sensitivity 2'!$AV$43,'Sensitivity 2'!AV56)</f>
        <v>10102368.20696114</v>
      </c>
      <c r="BA56" s="150">
        <f ca="1">OFFSET('Government Impact_baseline'!$C$193,'Sensitivity 2'!$AV$43,'Sensitivity 2'!AV56)</f>
        <v>10102368.20696114</v>
      </c>
      <c r="BB56" s="150">
        <f ca="1">OFFSET('Government Impact_baseline'!$C$232,'Sensitivity 2'!$AV$43,'Sensitivity 2'!AV56)</f>
        <v>10102368.20696114</v>
      </c>
      <c r="BC56" s="150">
        <f ca="1">OFFSET('Government Impact_baseline'!$C$271,'Sensitivity 2'!$AV$43,'Sensitivity 2'!AV56)</f>
        <v>10102368.20696114</v>
      </c>
    </row>
    <row r="57" spans="48:55" x14ac:dyDescent="0.3">
      <c r="AV57" s="155">
        <v>14</v>
      </c>
      <c r="AW57" s="150">
        <f ca="1">OFFSET('Government Impact_baseline'!$C$35,'Sensitivity 2'!$AV$43,'Sensitivity 2'!AV57)</f>
        <v>9183971.0972373988</v>
      </c>
      <c r="AX57" s="150">
        <f ca="1">OFFSET('Government Impact_baseline'!$C$75,'Sensitivity 2'!$AV$43,'Sensitivity 2'!AV57)</f>
        <v>9183971.0972373988</v>
      </c>
      <c r="AY57" s="150">
        <f ca="1">OFFSET('Government Impact_baseline'!$C$115,'Sensitivity 2'!$AV$43,'Sensitivity 2'!AV57)</f>
        <v>9183971.0972373988</v>
      </c>
      <c r="AZ57" s="150">
        <f ca="1">OFFSET('Government Impact_baseline'!$C$154,'Sensitivity 2'!$AV$43,'Sensitivity 2'!AV57)</f>
        <v>9183971.0972373988</v>
      </c>
      <c r="BA57" s="150">
        <f ca="1">OFFSET('Government Impact_baseline'!$C$193,'Sensitivity 2'!$AV$43,'Sensitivity 2'!AV57)</f>
        <v>9183971.0972373988</v>
      </c>
      <c r="BB57" s="150">
        <f ca="1">OFFSET('Government Impact_baseline'!$C$232,'Sensitivity 2'!$AV$43,'Sensitivity 2'!AV57)</f>
        <v>9183971.0972373988</v>
      </c>
      <c r="BC57" s="150">
        <f ca="1">OFFSET('Government Impact_baseline'!$C$271,'Sensitivity 2'!$AV$43,'Sensitivity 2'!AV57)</f>
        <v>9183971.0972373988</v>
      </c>
    </row>
    <row r="58" spans="48:55" x14ac:dyDescent="0.3">
      <c r="AV58" s="155">
        <v>15</v>
      </c>
      <c r="AW58" s="150">
        <f ca="1">OFFSET('Government Impact_baseline'!$C$35,'Sensitivity 2'!$AV$43,'Sensitivity 2'!AV58)</f>
        <v>8265573.9875136586</v>
      </c>
      <c r="AX58" s="150">
        <f ca="1">OFFSET('Government Impact_baseline'!$C$75,'Sensitivity 2'!$AV$43,'Sensitivity 2'!AV58)</f>
        <v>8265573.9875136586</v>
      </c>
      <c r="AY58" s="150">
        <f ca="1">OFFSET('Government Impact_baseline'!$C$115,'Sensitivity 2'!$AV$43,'Sensitivity 2'!AV58)</f>
        <v>8265573.9875136586</v>
      </c>
      <c r="AZ58" s="150">
        <f ca="1">OFFSET('Government Impact_baseline'!$C$154,'Sensitivity 2'!$AV$43,'Sensitivity 2'!AV58)</f>
        <v>8265573.9875136586</v>
      </c>
      <c r="BA58" s="150">
        <f ca="1">OFFSET('Government Impact_baseline'!$C$193,'Sensitivity 2'!$AV$43,'Sensitivity 2'!AV58)</f>
        <v>8265573.9875136586</v>
      </c>
      <c r="BB58" s="150">
        <f ca="1">OFFSET('Government Impact_baseline'!$C$232,'Sensitivity 2'!$AV$43,'Sensitivity 2'!AV58)</f>
        <v>8265573.9875136586</v>
      </c>
      <c r="BC58" s="150">
        <f ca="1">OFFSET('Government Impact_baseline'!$C$271,'Sensitivity 2'!$AV$43,'Sensitivity 2'!AV58)</f>
        <v>8265573.9875136586</v>
      </c>
    </row>
    <row r="59" spans="48:55" x14ac:dyDescent="0.3">
      <c r="AV59" s="155">
        <v>16</v>
      </c>
      <c r="AW59" s="150">
        <f ca="1">OFFSET('Government Impact_baseline'!$C$35,'Sensitivity 2'!$AV$43,'Sensitivity 2'!AV59)</f>
        <v>7347176.8777899183</v>
      </c>
      <c r="AX59" s="150">
        <f ca="1">OFFSET('Government Impact_baseline'!$C$75,'Sensitivity 2'!$AV$43,'Sensitivity 2'!AV59)</f>
        <v>7347176.8777899183</v>
      </c>
      <c r="AY59" s="150">
        <f ca="1">OFFSET('Government Impact_baseline'!$C$115,'Sensitivity 2'!$AV$43,'Sensitivity 2'!AV59)</f>
        <v>7347176.8777899183</v>
      </c>
      <c r="AZ59" s="150">
        <f ca="1">OFFSET('Government Impact_baseline'!$C$154,'Sensitivity 2'!$AV$43,'Sensitivity 2'!AV59)</f>
        <v>7347176.8777899183</v>
      </c>
      <c r="BA59" s="150">
        <f ca="1">OFFSET('Government Impact_baseline'!$C$193,'Sensitivity 2'!$AV$43,'Sensitivity 2'!AV59)</f>
        <v>7347176.8777899183</v>
      </c>
      <c r="BB59" s="150">
        <f ca="1">OFFSET('Government Impact_baseline'!$C$232,'Sensitivity 2'!$AV$43,'Sensitivity 2'!AV59)</f>
        <v>7347176.8777899183</v>
      </c>
      <c r="BC59" s="150">
        <f ca="1">OFFSET('Government Impact_baseline'!$C$271,'Sensitivity 2'!$AV$43,'Sensitivity 2'!AV59)</f>
        <v>7347176.8777899183</v>
      </c>
    </row>
    <row r="60" spans="48:55" x14ac:dyDescent="0.3">
      <c r="AV60" s="155">
        <v>17</v>
      </c>
      <c r="AW60" s="150">
        <f ca="1">OFFSET('Government Impact_baseline'!$C$35,'Sensitivity 2'!$AV$43,'Sensitivity 2'!AV60)</f>
        <v>6428779.7680661781</v>
      </c>
      <c r="AX60" s="150">
        <f ca="1">OFFSET('Government Impact_baseline'!$C$75,'Sensitivity 2'!$AV$43,'Sensitivity 2'!AV60)</f>
        <v>6428779.7680661781</v>
      </c>
      <c r="AY60" s="150">
        <f ca="1">OFFSET('Government Impact_baseline'!$C$115,'Sensitivity 2'!$AV$43,'Sensitivity 2'!AV60)</f>
        <v>6428779.7680661781</v>
      </c>
      <c r="AZ60" s="150">
        <f ca="1">OFFSET('Government Impact_baseline'!$C$154,'Sensitivity 2'!$AV$43,'Sensitivity 2'!AV60)</f>
        <v>6428779.7680661781</v>
      </c>
      <c r="BA60" s="150">
        <f ca="1">OFFSET('Government Impact_baseline'!$C$193,'Sensitivity 2'!$AV$43,'Sensitivity 2'!AV60)</f>
        <v>6428779.7680661781</v>
      </c>
      <c r="BB60" s="150">
        <f ca="1">OFFSET('Government Impact_baseline'!$C$232,'Sensitivity 2'!$AV$43,'Sensitivity 2'!AV60)</f>
        <v>6428779.7680661781</v>
      </c>
      <c r="BC60" s="150">
        <f ca="1">OFFSET('Government Impact_baseline'!$C$271,'Sensitivity 2'!$AV$43,'Sensitivity 2'!AV60)</f>
        <v>6428779.7680661781</v>
      </c>
    </row>
    <row r="61" spans="48:55" x14ac:dyDescent="0.3">
      <c r="AV61" s="155">
        <v>18</v>
      </c>
      <c r="AW61" s="150">
        <f ca="1">OFFSET('Government Impact_baseline'!$C$35,'Sensitivity 2'!$AV$43,'Sensitivity 2'!AV61)</f>
        <v>5510382.6583424378</v>
      </c>
      <c r="AX61" s="150">
        <f ca="1">OFFSET('Government Impact_baseline'!$C$75,'Sensitivity 2'!$AV$43,'Sensitivity 2'!AV61)</f>
        <v>5510382.6583424378</v>
      </c>
      <c r="AY61" s="150">
        <f ca="1">OFFSET('Government Impact_baseline'!$C$115,'Sensitivity 2'!$AV$43,'Sensitivity 2'!AV61)</f>
        <v>5510382.6583424378</v>
      </c>
      <c r="AZ61" s="150">
        <f ca="1">OFFSET('Government Impact_baseline'!$C$154,'Sensitivity 2'!$AV$43,'Sensitivity 2'!AV61)</f>
        <v>5510382.6583424378</v>
      </c>
      <c r="BA61" s="150">
        <f ca="1">OFFSET('Government Impact_baseline'!$C$193,'Sensitivity 2'!$AV$43,'Sensitivity 2'!AV61)</f>
        <v>5510382.6583424378</v>
      </c>
      <c r="BB61" s="150">
        <f ca="1">OFFSET('Government Impact_baseline'!$C$232,'Sensitivity 2'!$AV$43,'Sensitivity 2'!AV61)</f>
        <v>5510382.6583424378</v>
      </c>
      <c r="BC61" s="150">
        <f ca="1">OFFSET('Government Impact_baseline'!$C$271,'Sensitivity 2'!$AV$43,'Sensitivity 2'!AV61)</f>
        <v>5510382.6583424378</v>
      </c>
    </row>
    <row r="62" spans="48:55" x14ac:dyDescent="0.3">
      <c r="AV62" s="155">
        <v>19</v>
      </c>
      <c r="AW62" s="150">
        <f ca="1">OFFSET('Government Impact_baseline'!$C$35,'Sensitivity 2'!$AV$43,'Sensitivity 2'!AV62)</f>
        <v>4591985.5486186976</v>
      </c>
      <c r="AX62" s="150">
        <f ca="1">OFFSET('Government Impact_baseline'!$C$75,'Sensitivity 2'!$AV$43,'Sensitivity 2'!AV62)</f>
        <v>4591985.5486186976</v>
      </c>
      <c r="AY62" s="150">
        <f ca="1">OFFSET('Government Impact_baseline'!$C$115,'Sensitivity 2'!$AV$43,'Sensitivity 2'!AV62)</f>
        <v>4591985.5486186976</v>
      </c>
      <c r="AZ62" s="150">
        <f ca="1">OFFSET('Government Impact_baseline'!$C$154,'Sensitivity 2'!$AV$43,'Sensitivity 2'!AV62)</f>
        <v>4591985.5486186976</v>
      </c>
      <c r="BA62" s="150">
        <f ca="1">OFFSET('Government Impact_baseline'!$C$193,'Sensitivity 2'!$AV$43,'Sensitivity 2'!AV62)</f>
        <v>4591985.5486186976</v>
      </c>
      <c r="BB62" s="150">
        <f ca="1">OFFSET('Government Impact_baseline'!$C$232,'Sensitivity 2'!$AV$43,'Sensitivity 2'!AV62)</f>
        <v>4591985.5486186976</v>
      </c>
      <c r="BC62" s="150">
        <f ca="1">OFFSET('Government Impact_baseline'!$C$271,'Sensitivity 2'!$AV$43,'Sensitivity 2'!AV62)</f>
        <v>4591985.5486186976</v>
      </c>
    </row>
    <row r="63" spans="48:55" x14ac:dyDescent="0.3">
      <c r="AV63" s="155">
        <v>20</v>
      </c>
      <c r="AW63" s="150">
        <f ca="1">OFFSET('Government Impact_baseline'!$C$35,'Sensitivity 2'!$AV$43,'Sensitivity 2'!AV63)</f>
        <v>3673588.4388949573</v>
      </c>
      <c r="AX63" s="150">
        <f ca="1">OFFSET('Government Impact_baseline'!$C$75,'Sensitivity 2'!$AV$43,'Sensitivity 2'!AV63)</f>
        <v>3673588.4388949573</v>
      </c>
      <c r="AY63" s="150">
        <f ca="1">OFFSET('Government Impact_baseline'!$C$115,'Sensitivity 2'!$AV$43,'Sensitivity 2'!AV63)</f>
        <v>3673588.4388949573</v>
      </c>
      <c r="AZ63" s="150">
        <f ca="1">OFFSET('Government Impact_baseline'!$C$154,'Sensitivity 2'!$AV$43,'Sensitivity 2'!AV63)</f>
        <v>3673588.4388949573</v>
      </c>
      <c r="BA63" s="150">
        <f ca="1">OFFSET('Government Impact_baseline'!$C$193,'Sensitivity 2'!$AV$43,'Sensitivity 2'!AV63)</f>
        <v>3673588.4388949573</v>
      </c>
      <c r="BB63" s="150">
        <f ca="1">OFFSET('Government Impact_baseline'!$C$232,'Sensitivity 2'!$AV$43,'Sensitivity 2'!AV63)</f>
        <v>3673588.4388949573</v>
      </c>
      <c r="BC63" s="150">
        <f ca="1">OFFSET('Government Impact_baseline'!$C$271,'Sensitivity 2'!$AV$43,'Sensitivity 2'!AV63)</f>
        <v>3673588.4388949573</v>
      </c>
    </row>
    <row r="64" spans="48:55" x14ac:dyDescent="0.3">
      <c r="AV64" s="155">
        <v>21</v>
      </c>
      <c r="AW64" s="150">
        <f ca="1">OFFSET('Government Impact_baseline'!$C$35,'Sensitivity 2'!$AV$43,'Sensitivity 2'!AV64)</f>
        <v>2755191.329171217</v>
      </c>
      <c r="AX64" s="150">
        <f ca="1">OFFSET('Government Impact_baseline'!$C$75,'Sensitivity 2'!$AV$43,'Sensitivity 2'!AV64)</f>
        <v>2755191.329171217</v>
      </c>
      <c r="AY64" s="150">
        <f ca="1">OFFSET('Government Impact_baseline'!$C$115,'Sensitivity 2'!$AV$43,'Sensitivity 2'!AV64)</f>
        <v>2755191.329171217</v>
      </c>
      <c r="AZ64" s="150">
        <f ca="1">OFFSET('Government Impact_baseline'!$C$154,'Sensitivity 2'!$AV$43,'Sensitivity 2'!AV64)</f>
        <v>2755191.329171217</v>
      </c>
      <c r="BA64" s="150">
        <f ca="1">OFFSET('Government Impact_baseline'!$C$193,'Sensitivity 2'!$AV$43,'Sensitivity 2'!AV64)</f>
        <v>2755191.329171217</v>
      </c>
      <c r="BB64" s="150">
        <f ca="1">OFFSET('Government Impact_baseline'!$C$232,'Sensitivity 2'!$AV$43,'Sensitivity 2'!AV64)</f>
        <v>2755191.329171217</v>
      </c>
      <c r="BC64" s="150">
        <f ca="1">OFFSET('Government Impact_baseline'!$C$271,'Sensitivity 2'!$AV$43,'Sensitivity 2'!AV64)</f>
        <v>2755191.329171217</v>
      </c>
    </row>
    <row r="65" spans="48:55" x14ac:dyDescent="0.3">
      <c r="AV65" s="155">
        <v>22</v>
      </c>
      <c r="AW65" s="150">
        <f ca="1">OFFSET('Government Impact_baseline'!$C$35,'Sensitivity 2'!$AV$43,'Sensitivity 2'!AV65)</f>
        <v>1836794.2194474766</v>
      </c>
      <c r="AX65" s="150">
        <f ca="1">OFFSET('Government Impact_baseline'!$C$75,'Sensitivity 2'!$AV$43,'Sensitivity 2'!AV65)</f>
        <v>1836794.2194474766</v>
      </c>
      <c r="AY65" s="150">
        <f ca="1">OFFSET('Government Impact_baseline'!$C$115,'Sensitivity 2'!$AV$43,'Sensitivity 2'!AV65)</f>
        <v>1836794.2194474766</v>
      </c>
      <c r="AZ65" s="150">
        <f ca="1">OFFSET('Government Impact_baseline'!$C$154,'Sensitivity 2'!$AV$43,'Sensitivity 2'!AV65)</f>
        <v>1836794.2194474766</v>
      </c>
      <c r="BA65" s="150">
        <f ca="1">OFFSET('Government Impact_baseline'!$C$193,'Sensitivity 2'!$AV$43,'Sensitivity 2'!AV65)</f>
        <v>1836794.2194474766</v>
      </c>
      <c r="BB65" s="150">
        <f ca="1">OFFSET('Government Impact_baseline'!$C$232,'Sensitivity 2'!$AV$43,'Sensitivity 2'!AV65)</f>
        <v>1836794.2194474766</v>
      </c>
      <c r="BC65" s="150">
        <f ca="1">OFFSET('Government Impact_baseline'!$C$271,'Sensitivity 2'!$AV$43,'Sensitivity 2'!AV65)</f>
        <v>1836794.2194474766</v>
      </c>
    </row>
    <row r="66" spans="48:55" x14ac:dyDescent="0.3">
      <c r="AV66" s="155">
        <v>23</v>
      </c>
      <c r="AW66" s="150">
        <f ca="1">OFFSET('Government Impact_baseline'!$C$35,'Sensitivity 2'!$AV$43,'Sensitivity 2'!AV66)</f>
        <v>918397.1</v>
      </c>
      <c r="AX66" s="150">
        <f ca="1">OFFSET('Government Impact_baseline'!$C$75,'Sensitivity 2'!$AV$43,'Sensitivity 2'!AV66)</f>
        <v>918397.1</v>
      </c>
      <c r="AY66" s="150">
        <f ca="1">OFFSET('Government Impact_baseline'!$C$115,'Sensitivity 2'!$AV$43,'Sensitivity 2'!AV66)</f>
        <v>918397.1</v>
      </c>
      <c r="AZ66" s="150">
        <f ca="1">OFFSET('Government Impact_baseline'!$C$154,'Sensitivity 2'!$AV$43,'Sensitivity 2'!AV66)</f>
        <v>918397.1</v>
      </c>
      <c r="BA66" s="150">
        <f ca="1">OFFSET('Government Impact_baseline'!$C$193,'Sensitivity 2'!$AV$43,'Sensitivity 2'!AV66)</f>
        <v>918397.1</v>
      </c>
      <c r="BB66" s="150">
        <f ca="1">OFFSET('Government Impact_baseline'!$C$232,'Sensitivity 2'!$AV$43,'Sensitivity 2'!AV66)</f>
        <v>918397.1</v>
      </c>
      <c r="BC66" s="150">
        <f ca="1">OFFSET('Government Impact_baseline'!$C$271,'Sensitivity 2'!$AV$43,'Sensitivity 2'!AV66)</f>
        <v>918397.1</v>
      </c>
    </row>
    <row r="67" spans="48:55" x14ac:dyDescent="0.3">
      <c r="AV67" s="155">
        <v>24</v>
      </c>
      <c r="AW67" s="150">
        <f ca="1">OFFSET('Government Impact_baseline'!$C$35,'Sensitivity 2'!$AV$43,'Sensitivity 2'!AV67)</f>
        <v>0</v>
      </c>
      <c r="AX67" s="150">
        <f ca="1">OFFSET('Government Impact_baseline'!$C$75,'Sensitivity 2'!$AV$43,'Sensitivity 2'!AV67)</f>
        <v>0</v>
      </c>
      <c r="AY67" s="150">
        <f ca="1">OFFSET('Government Impact_baseline'!$C$115,'Sensitivity 2'!$AV$43,'Sensitivity 2'!AV67)</f>
        <v>0</v>
      </c>
      <c r="AZ67" s="150">
        <f ca="1">OFFSET('Government Impact_baseline'!$C$154,'Sensitivity 2'!$AV$43,'Sensitivity 2'!AV67)</f>
        <v>0</v>
      </c>
      <c r="BA67" s="150">
        <f ca="1">OFFSET('Government Impact_baseline'!$C$193,'Sensitivity 2'!$AV$43,'Sensitivity 2'!AV67)</f>
        <v>0</v>
      </c>
      <c r="BB67" s="150">
        <f ca="1">OFFSET('Government Impact_baseline'!$C$232,'Sensitivity 2'!$AV$43,'Sensitivity 2'!AV67)</f>
        <v>0</v>
      </c>
      <c r="BC67" s="150">
        <f ca="1">OFFSET('Government Impact_baseline'!$C$271,'Sensitivity 2'!$AV$43,'Sensitivity 2'!AV67)</f>
        <v>0</v>
      </c>
    </row>
    <row r="68" spans="48:55" x14ac:dyDescent="0.3">
      <c r="AW68" s="168">
        <f t="shared" ref="AW68:BC68" ca="1" si="11">SUM(AW43:AW67)</f>
        <v>222290653.85678667</v>
      </c>
      <c r="AX68" s="168">
        <f t="shared" ca="1" si="11"/>
        <v>222290653.85678667</v>
      </c>
      <c r="AY68" s="168">
        <f t="shared" ca="1" si="11"/>
        <v>222290653.85678667</v>
      </c>
      <c r="AZ68" s="168">
        <f t="shared" ca="1" si="11"/>
        <v>222290653.85678667</v>
      </c>
      <c r="BA68" s="168">
        <f t="shared" ca="1" si="11"/>
        <v>222290653.85678667</v>
      </c>
      <c r="BB68" s="168">
        <f t="shared" ca="1" si="11"/>
        <v>222290653.85678667</v>
      </c>
      <c r="BC68" s="168">
        <f t="shared" ca="1" si="11"/>
        <v>222290653.85678667</v>
      </c>
    </row>
    <row r="69" spans="48:55" x14ac:dyDescent="0.3">
      <c r="AW69" s="169"/>
      <c r="AX69" s="169"/>
      <c r="AY69" s="169"/>
      <c r="AZ69" s="169"/>
      <c r="BA69" s="169"/>
      <c r="BB69" s="169"/>
      <c r="BC69" s="169"/>
    </row>
    <row r="70" spans="48:55" x14ac:dyDescent="0.3">
      <c r="AV70" s="143" t="s">
        <v>163</v>
      </c>
      <c r="AW70" s="143"/>
      <c r="AX70" s="143"/>
      <c r="AY70" s="143"/>
      <c r="AZ70" s="143"/>
      <c r="BA70" s="143"/>
      <c r="BB70" s="143"/>
      <c r="BC70" s="143"/>
    </row>
    <row r="71" spans="48:55" x14ac:dyDescent="0.3">
      <c r="AV71" s="150">
        <f>+SUM('Government Impact_baseline'!C8:AA8)</f>
        <v>30244807.033714008</v>
      </c>
      <c r="AW71" s="135" t="s">
        <v>136</v>
      </c>
      <c r="AX71" s="135" t="s">
        <v>159</v>
      </c>
      <c r="AY71" s="135" t="s">
        <v>153</v>
      </c>
      <c r="AZ71" s="135" t="str">
        <f t="shared" ref="AZ71:BC71" si="12">AZ42</f>
        <v>Exchange rate</v>
      </c>
      <c r="BA71" s="135" t="str">
        <f t="shared" si="12"/>
        <v>Price Risk</v>
      </c>
      <c r="BB71" s="135" t="str">
        <f t="shared" si="12"/>
        <v>Subsidy Policy</v>
      </c>
      <c r="BC71" s="135" t="str">
        <f t="shared" si="12"/>
        <v>Combined</v>
      </c>
    </row>
    <row r="72" spans="48:55" x14ac:dyDescent="0.3">
      <c r="AV72" s="155">
        <v>0</v>
      </c>
      <c r="AW72" s="150">
        <f ca="1">OFFSET('Government Impact_baseline'!$C$8,'Sensitivity 2'!$AV$72,'Sensitivity 2'!AV72)</f>
        <v>0</v>
      </c>
      <c r="AX72" s="150">
        <f ca="1">OFFSET('Government Impact_baseline'!$C$48,'Sensitivity 2'!$AV$72,'Sensitivity 2'!AV72)</f>
        <v>0</v>
      </c>
      <c r="AY72" s="150">
        <f ca="1">OFFSET('Government Impact_baseline'!$C$88,'Sensitivity 2'!$AV$72,'Sensitivity 2'!AV72)</f>
        <v>0</v>
      </c>
      <c r="AZ72" s="150">
        <f ca="1">OFFSET('Government Impact_baseline'!$C$127,'Sensitivity 2'!$AV$72,'Sensitivity 2'!AV72)</f>
        <v>0</v>
      </c>
      <c r="BA72" s="150">
        <f ca="1">OFFSET('Government Impact_baseline'!$C$166,'Sensitivity 2'!$AV$72,'Sensitivity 2'!AV72)</f>
        <v>0</v>
      </c>
      <c r="BB72" s="150">
        <f ca="1">OFFSET('Government Impact_baseline'!$C$205,'Sensitivity 2'!$AV$72,'Sensitivity 2'!AV72)</f>
        <v>0</v>
      </c>
      <c r="BC72" s="150">
        <f ca="1">OFFSET('Government Impact_baseline'!$C$244,'Sensitivity 2'!$AV$72,'Sensitivity 2'!AV72)</f>
        <v>0</v>
      </c>
    </row>
    <row r="73" spans="48:55" x14ac:dyDescent="0.3">
      <c r="AV73" s="155">
        <v>1</v>
      </c>
      <c r="AW73" s="150">
        <f ca="1">OFFSET('Government Impact_baseline'!$C$8,'Sensitivity 2'!$AV$72,'Sensitivity 2'!AV73)</f>
        <v>0</v>
      </c>
      <c r="AX73" s="150">
        <f ca="1">OFFSET('Government Impact_baseline'!$C$48,'Sensitivity 2'!$AV$72,'Sensitivity 2'!AV73)</f>
        <v>0</v>
      </c>
      <c r="AY73" s="150">
        <f ca="1">OFFSET('Government Impact_baseline'!$C$88,'Sensitivity 2'!$AV$72,'Sensitivity 2'!AV73)</f>
        <v>0</v>
      </c>
      <c r="AZ73" s="150">
        <f ca="1">OFFSET('Government Impact_baseline'!$C$127,'Sensitivity 2'!$AV$72,'Sensitivity 2'!AV73)</f>
        <v>0</v>
      </c>
      <c r="BA73" s="150">
        <f ca="1">OFFSET('Government Impact_baseline'!$C$166,'Sensitivity 2'!$AV$72,'Sensitivity 2'!AV73)</f>
        <v>0</v>
      </c>
      <c r="BB73" s="150">
        <f ca="1">OFFSET('Government Impact_baseline'!$C$205,'Sensitivity 2'!$AV$72,'Sensitivity 2'!AV73)</f>
        <v>0</v>
      </c>
      <c r="BC73" s="150">
        <f ca="1">OFFSET('Government Impact_baseline'!$C$244,'Sensitivity 2'!$AV$72,'Sensitivity 2'!AV73)</f>
        <v>0</v>
      </c>
    </row>
    <row r="74" spans="48:55" x14ac:dyDescent="0.3">
      <c r="AV74" s="155">
        <v>2</v>
      </c>
      <c r="AW74" s="150">
        <f ca="1">OFFSET('Government Impact_baseline'!$C$8,'Sensitivity 2'!$AV$72,'Sensitivity 2'!AV74)</f>
        <v>0</v>
      </c>
      <c r="AX74" s="150">
        <f ca="1">OFFSET('Government Impact_baseline'!$C$48,'Sensitivity 2'!$AV$72,'Sensitivity 2'!AV74)</f>
        <v>0</v>
      </c>
      <c r="AY74" s="150">
        <f ca="1">OFFSET('Government Impact_baseline'!$C$88,'Sensitivity 2'!$AV$72,'Sensitivity 2'!AV74)</f>
        <v>0</v>
      </c>
      <c r="AZ74" s="150">
        <f ca="1">OFFSET('Government Impact_baseline'!$C$127,'Sensitivity 2'!$AV$72,'Sensitivity 2'!AV74)</f>
        <v>0</v>
      </c>
      <c r="BA74" s="150">
        <f ca="1">OFFSET('Government Impact_baseline'!$C$166,'Sensitivity 2'!$AV$72,'Sensitivity 2'!AV74)</f>
        <v>0</v>
      </c>
      <c r="BB74" s="150">
        <f ca="1">OFFSET('Government Impact_baseline'!$C$205,'Sensitivity 2'!$AV$72,'Sensitivity 2'!AV74)</f>
        <v>0</v>
      </c>
      <c r="BC74" s="150">
        <f ca="1">OFFSET('Government Impact_baseline'!$C$244,'Sensitivity 2'!$AV$72,'Sensitivity 2'!AV74)</f>
        <v>0</v>
      </c>
    </row>
    <row r="75" spans="48:55" x14ac:dyDescent="0.3">
      <c r="AV75" s="155">
        <v>3</v>
      </c>
      <c r="AW75" s="150">
        <f ca="1">OFFSET('Government Impact_baseline'!$C$8,'Sensitivity 2'!$AV$72,'Sensitivity 2'!AV75)</f>
        <v>633095.51535999984</v>
      </c>
      <c r="AX75" s="150">
        <f ca="1">OFFSET('Government Impact_baseline'!$C$48,'Sensitivity 2'!$AV$72,'Sensitivity 2'!AV75)</f>
        <v>633095.51535999984</v>
      </c>
      <c r="AY75" s="150">
        <f ca="1">OFFSET('Government Impact_baseline'!$C$88,'Sensitivity 2'!$AV$72,'Sensitivity 2'!AV75)</f>
        <v>633095.51535999984</v>
      </c>
      <c r="AZ75" s="150">
        <f ca="1">OFFSET('Government Impact_baseline'!$C$127,'Sensitivity 2'!$AV$72,'Sensitivity 2'!AV75)</f>
        <v>633095.51535999984</v>
      </c>
      <c r="BA75" s="150">
        <f ca="1">OFFSET('Government Impact_baseline'!$C$166,'Sensitivity 2'!$AV$72,'Sensitivity 2'!AV75)</f>
        <v>633095.51535999984</v>
      </c>
      <c r="BB75" s="150">
        <f ca="1">OFFSET('Government Impact_baseline'!$C$205,'Sensitivity 2'!$AV$72,'Sensitivity 2'!AV75)</f>
        <v>633095.51535999984</v>
      </c>
      <c r="BC75" s="150">
        <f ca="1">OFFSET('Government Impact_baseline'!$C$244,'Sensitivity 2'!$AV$72,'Sensitivity 2'!AV75)</f>
        <v>633095.51535999984</v>
      </c>
    </row>
    <row r="76" spans="48:55" x14ac:dyDescent="0.3">
      <c r="AV76" s="155">
        <v>4</v>
      </c>
      <c r="AW76" s="150">
        <f ca="1">OFFSET('Government Impact_baseline'!$C$8,'Sensitivity 2'!$AV$72,'Sensitivity 2'!AV76)</f>
        <v>2570367.7923615985</v>
      </c>
      <c r="AX76" s="150">
        <f ca="1">OFFSET('Government Impact_baseline'!$C$48,'Sensitivity 2'!$AV$72,'Sensitivity 2'!AV76)</f>
        <v>2570367.7923615985</v>
      </c>
      <c r="AY76" s="150">
        <f ca="1">OFFSET('Government Impact_baseline'!$C$88,'Sensitivity 2'!$AV$72,'Sensitivity 2'!AV76)</f>
        <v>2570367.7923615985</v>
      </c>
      <c r="AZ76" s="150">
        <f ca="1">OFFSET('Government Impact_baseline'!$C$127,'Sensitivity 2'!$AV$72,'Sensitivity 2'!AV76)</f>
        <v>2570367.7923615985</v>
      </c>
      <c r="BA76" s="150">
        <f ca="1">OFFSET('Government Impact_baseline'!$C$166,'Sensitivity 2'!$AV$72,'Sensitivity 2'!AV76)</f>
        <v>2570367.7923615985</v>
      </c>
      <c r="BB76" s="150">
        <f ca="1">OFFSET('Government Impact_baseline'!$C$205,'Sensitivity 2'!$AV$72,'Sensitivity 2'!AV76)</f>
        <v>2570367.7923615985</v>
      </c>
      <c r="BC76" s="150">
        <f ca="1">OFFSET('Government Impact_baseline'!$C$244,'Sensitivity 2'!$AV$72,'Sensitivity 2'!AV76)</f>
        <v>2570367.7923615985</v>
      </c>
    </row>
    <row r="77" spans="48:55" x14ac:dyDescent="0.3">
      <c r="AV77" s="155">
        <v>5</v>
      </c>
      <c r="AW77" s="150">
        <f ca="1">OFFSET('Government Impact_baseline'!$C$8,'Sensitivity 2'!$AV$72,'Sensitivity 2'!AV77)</f>
        <v>1011021.988377719</v>
      </c>
      <c r="AX77" s="150">
        <f ca="1">OFFSET('Government Impact_baseline'!$C$48,'Sensitivity 2'!$AV$72,'Sensitivity 2'!AV77)</f>
        <v>1011021.988377719</v>
      </c>
      <c r="AY77" s="150">
        <f ca="1">OFFSET('Government Impact_baseline'!$C$88,'Sensitivity 2'!$AV$72,'Sensitivity 2'!AV77)</f>
        <v>1011021.988377719</v>
      </c>
      <c r="AZ77" s="150">
        <f ca="1">OFFSET('Government Impact_baseline'!$C$127,'Sensitivity 2'!$AV$72,'Sensitivity 2'!AV77)</f>
        <v>1011021.988377719</v>
      </c>
      <c r="BA77" s="150">
        <f ca="1">OFFSET('Government Impact_baseline'!$C$166,'Sensitivity 2'!$AV$72,'Sensitivity 2'!AV77)</f>
        <v>1011021.988377719</v>
      </c>
      <c r="BB77" s="150">
        <f ca="1">OFFSET('Government Impact_baseline'!$C$205,'Sensitivity 2'!$AV$72,'Sensitivity 2'!AV77)</f>
        <v>1011021.988377719</v>
      </c>
      <c r="BC77" s="150">
        <f ca="1">OFFSET('Government Impact_baseline'!$C$244,'Sensitivity 2'!$AV$72,'Sensitivity 2'!AV77)</f>
        <v>1011021.988377719</v>
      </c>
    </row>
    <row r="78" spans="48:55" x14ac:dyDescent="0.3">
      <c r="AV78" s="155">
        <v>6</v>
      </c>
      <c r="AW78" s="150">
        <f ca="1">OFFSET('Government Impact_baseline'!$C$8,'Sensitivity 2'!$AV$72,'Sensitivity 2'!AV78)</f>
        <v>1026187.3182033846</v>
      </c>
      <c r="AX78" s="150">
        <f ca="1">OFFSET('Government Impact_baseline'!$C$48,'Sensitivity 2'!$AV$72,'Sensitivity 2'!AV78)</f>
        <v>1026187.3182033846</v>
      </c>
      <c r="AY78" s="150">
        <f ca="1">OFFSET('Government Impact_baseline'!$C$88,'Sensitivity 2'!$AV$72,'Sensitivity 2'!AV78)</f>
        <v>1026187.3182033846</v>
      </c>
      <c r="AZ78" s="150">
        <f ca="1">OFFSET('Government Impact_baseline'!$C$127,'Sensitivity 2'!$AV$72,'Sensitivity 2'!AV78)</f>
        <v>1026187.3182033846</v>
      </c>
      <c r="BA78" s="150">
        <f ca="1">OFFSET('Government Impact_baseline'!$C$166,'Sensitivity 2'!$AV$72,'Sensitivity 2'!AV78)</f>
        <v>1026187.3182033846</v>
      </c>
      <c r="BB78" s="150">
        <f ca="1">OFFSET('Government Impact_baseline'!$C$205,'Sensitivity 2'!$AV$72,'Sensitivity 2'!AV78)</f>
        <v>1026187.3182033846</v>
      </c>
      <c r="BC78" s="150">
        <f ca="1">OFFSET('Government Impact_baseline'!$C$244,'Sensitivity 2'!$AV$72,'Sensitivity 2'!AV78)</f>
        <v>1026187.3182033846</v>
      </c>
    </row>
    <row r="79" spans="48:55" x14ac:dyDescent="0.3">
      <c r="AV79" s="155">
        <v>7</v>
      </c>
      <c r="AW79" s="150">
        <f ca="1">OFFSET('Government Impact_baseline'!$C$8,'Sensitivity 2'!$AV$72,'Sensitivity 2'!AV79)</f>
        <v>1041580.1279764354</v>
      </c>
      <c r="AX79" s="150">
        <f ca="1">OFFSET('Government Impact_baseline'!$C$48,'Sensitivity 2'!$AV$72,'Sensitivity 2'!AV79)</f>
        <v>1041580.1279764354</v>
      </c>
      <c r="AY79" s="150">
        <f ca="1">OFFSET('Government Impact_baseline'!$C$88,'Sensitivity 2'!$AV$72,'Sensitivity 2'!AV79)</f>
        <v>1041580.1279764354</v>
      </c>
      <c r="AZ79" s="150">
        <f ca="1">OFFSET('Government Impact_baseline'!$C$127,'Sensitivity 2'!$AV$72,'Sensitivity 2'!AV79)</f>
        <v>1041580.1279764354</v>
      </c>
      <c r="BA79" s="150">
        <f ca="1">OFFSET('Government Impact_baseline'!$C$166,'Sensitivity 2'!$AV$72,'Sensitivity 2'!AV79)</f>
        <v>1041580.1279764354</v>
      </c>
      <c r="BB79" s="150">
        <f ca="1">OFFSET('Government Impact_baseline'!$C$205,'Sensitivity 2'!$AV$72,'Sensitivity 2'!AV79)</f>
        <v>1041580.1279764354</v>
      </c>
      <c r="BC79" s="150">
        <f ca="1">OFFSET('Government Impact_baseline'!$C$244,'Sensitivity 2'!$AV$72,'Sensitivity 2'!AV79)</f>
        <v>1041580.1279764354</v>
      </c>
    </row>
    <row r="80" spans="48:55" x14ac:dyDescent="0.3">
      <c r="AV80" s="155">
        <v>8</v>
      </c>
      <c r="AW80" s="150">
        <f ca="1">OFFSET('Government Impact_baseline'!$C$8,'Sensitivity 2'!$AV$72,'Sensitivity 2'!AV80)</f>
        <v>1057203.8298960817</v>
      </c>
      <c r="AX80" s="150">
        <f ca="1">OFFSET('Government Impact_baseline'!$C$48,'Sensitivity 2'!$AV$72,'Sensitivity 2'!AV80)</f>
        <v>1057203.8298960817</v>
      </c>
      <c r="AY80" s="150">
        <f ca="1">OFFSET('Government Impact_baseline'!$C$88,'Sensitivity 2'!$AV$72,'Sensitivity 2'!AV80)</f>
        <v>1057203.8298960817</v>
      </c>
      <c r="AZ80" s="150">
        <f ca="1">OFFSET('Government Impact_baseline'!$C$127,'Sensitivity 2'!$AV$72,'Sensitivity 2'!AV80)</f>
        <v>1057203.8298960817</v>
      </c>
      <c r="BA80" s="150">
        <f ca="1">OFFSET('Government Impact_baseline'!$C$166,'Sensitivity 2'!$AV$72,'Sensitivity 2'!AV80)</f>
        <v>1057203.8298960817</v>
      </c>
      <c r="BB80" s="150">
        <f ca="1">OFFSET('Government Impact_baseline'!$C$205,'Sensitivity 2'!$AV$72,'Sensitivity 2'!AV80)</f>
        <v>1057203.8298960817</v>
      </c>
      <c r="BC80" s="150">
        <f ca="1">OFFSET('Government Impact_baseline'!$C$244,'Sensitivity 2'!$AV$72,'Sensitivity 2'!AV80)</f>
        <v>1057203.8298960817</v>
      </c>
    </row>
    <row r="81" spans="48:55" x14ac:dyDescent="0.3">
      <c r="AV81" s="155">
        <v>9</v>
      </c>
      <c r="AW81" s="150">
        <f ca="1">OFFSET('Government Impact_baseline'!$C$8,'Sensitivity 2'!$AV$72,'Sensitivity 2'!AV81)</f>
        <v>1073061.8873445229</v>
      </c>
      <c r="AX81" s="150">
        <f ca="1">OFFSET('Government Impact_baseline'!$C$48,'Sensitivity 2'!$AV$72,'Sensitivity 2'!AV81)</f>
        <v>1073061.8873445229</v>
      </c>
      <c r="AY81" s="150">
        <f ca="1">OFFSET('Government Impact_baseline'!$C$88,'Sensitivity 2'!$AV$72,'Sensitivity 2'!AV81)</f>
        <v>1073061.8873445229</v>
      </c>
      <c r="AZ81" s="150">
        <f ca="1">OFFSET('Government Impact_baseline'!$C$127,'Sensitivity 2'!$AV$72,'Sensitivity 2'!AV81)</f>
        <v>1073061.8873445229</v>
      </c>
      <c r="BA81" s="150">
        <f ca="1">OFFSET('Government Impact_baseline'!$C$166,'Sensitivity 2'!$AV$72,'Sensitivity 2'!AV81)</f>
        <v>1073061.8873445229</v>
      </c>
      <c r="BB81" s="150">
        <f ca="1">OFFSET('Government Impact_baseline'!$C$205,'Sensitivity 2'!$AV$72,'Sensitivity 2'!AV81)</f>
        <v>1073061.8873445229</v>
      </c>
      <c r="BC81" s="150">
        <f ca="1">OFFSET('Government Impact_baseline'!$C$244,'Sensitivity 2'!$AV$72,'Sensitivity 2'!AV81)</f>
        <v>1073061.8873445229</v>
      </c>
    </row>
    <row r="82" spans="48:55" x14ac:dyDescent="0.3">
      <c r="AV82" s="155">
        <v>10</v>
      </c>
      <c r="AW82" s="150">
        <f ca="1">OFFSET('Government Impact_baseline'!$C$8,'Sensitivity 2'!$AV$72,'Sensitivity 2'!AV82)</f>
        <v>1089157.8156546906</v>
      </c>
      <c r="AX82" s="150">
        <f ca="1">OFFSET('Government Impact_baseline'!$C$48,'Sensitivity 2'!$AV$72,'Sensitivity 2'!AV82)</f>
        <v>1089157.8156546906</v>
      </c>
      <c r="AY82" s="150">
        <f ca="1">OFFSET('Government Impact_baseline'!$C$88,'Sensitivity 2'!$AV$72,'Sensitivity 2'!AV82)</f>
        <v>1089157.8156546906</v>
      </c>
      <c r="AZ82" s="150">
        <f ca="1">OFFSET('Government Impact_baseline'!$C$127,'Sensitivity 2'!$AV$72,'Sensitivity 2'!AV82)</f>
        <v>1089157.8156546906</v>
      </c>
      <c r="BA82" s="150">
        <f ca="1">OFFSET('Government Impact_baseline'!$C$166,'Sensitivity 2'!$AV$72,'Sensitivity 2'!AV82)</f>
        <v>1089157.8156546906</v>
      </c>
      <c r="BB82" s="150">
        <f ca="1">OFFSET('Government Impact_baseline'!$C$205,'Sensitivity 2'!$AV$72,'Sensitivity 2'!AV82)</f>
        <v>1089157.8156546906</v>
      </c>
      <c r="BC82" s="150">
        <f ca="1">OFFSET('Government Impact_baseline'!$C$244,'Sensitivity 2'!$AV$72,'Sensitivity 2'!AV82)</f>
        <v>1089157.8156546906</v>
      </c>
    </row>
    <row r="83" spans="48:55" x14ac:dyDescent="0.3">
      <c r="AV83" s="155">
        <v>11</v>
      </c>
      <c r="AW83" s="150">
        <f ca="1">OFFSET('Government Impact_baseline'!$C$8,'Sensitivity 2'!$AV$72,'Sensitivity 2'!AV83)</f>
        <v>1105495.1828895109</v>
      </c>
      <c r="AX83" s="150">
        <f ca="1">OFFSET('Government Impact_baseline'!$C$48,'Sensitivity 2'!$AV$72,'Sensitivity 2'!AV83)</f>
        <v>1105495.1828895109</v>
      </c>
      <c r="AY83" s="150">
        <f ca="1">OFFSET('Government Impact_baseline'!$C$88,'Sensitivity 2'!$AV$72,'Sensitivity 2'!AV83)</f>
        <v>1105495.1828895109</v>
      </c>
      <c r="AZ83" s="150">
        <f ca="1">OFFSET('Government Impact_baseline'!$C$127,'Sensitivity 2'!$AV$72,'Sensitivity 2'!AV83)</f>
        <v>1105495.1828895109</v>
      </c>
      <c r="BA83" s="150">
        <f ca="1">OFFSET('Government Impact_baseline'!$C$166,'Sensitivity 2'!$AV$72,'Sensitivity 2'!AV83)</f>
        <v>1105495.1828895109</v>
      </c>
      <c r="BB83" s="150">
        <f ca="1">OFFSET('Government Impact_baseline'!$C$205,'Sensitivity 2'!$AV$72,'Sensitivity 2'!AV83)</f>
        <v>1105495.1828895109</v>
      </c>
      <c r="BC83" s="150">
        <f ca="1">OFFSET('Government Impact_baseline'!$C$244,'Sensitivity 2'!$AV$72,'Sensitivity 2'!AV83)</f>
        <v>1105495.1828895109</v>
      </c>
    </row>
    <row r="84" spans="48:55" x14ac:dyDescent="0.3">
      <c r="AV84" s="155">
        <v>12</v>
      </c>
      <c r="AW84" s="150">
        <f ca="1">OFFSET('Government Impact_baseline'!$C$8,'Sensitivity 2'!$AV$72,'Sensitivity 2'!AV84)</f>
        <v>1122077.6106328536</v>
      </c>
      <c r="AX84" s="150">
        <f ca="1">OFFSET('Government Impact_baseline'!$C$48,'Sensitivity 2'!$AV$72,'Sensitivity 2'!AV84)</f>
        <v>1122077.6106328536</v>
      </c>
      <c r="AY84" s="150">
        <f ca="1">OFFSET('Government Impact_baseline'!$C$88,'Sensitivity 2'!$AV$72,'Sensitivity 2'!AV84)</f>
        <v>1122077.6106328536</v>
      </c>
      <c r="AZ84" s="150">
        <f ca="1">OFFSET('Government Impact_baseline'!$C$127,'Sensitivity 2'!$AV$72,'Sensitivity 2'!AV84)</f>
        <v>1122077.6106328536</v>
      </c>
      <c r="BA84" s="150">
        <f ca="1">OFFSET('Government Impact_baseline'!$C$166,'Sensitivity 2'!$AV$72,'Sensitivity 2'!AV84)</f>
        <v>1122077.6106328536</v>
      </c>
      <c r="BB84" s="150">
        <f ca="1">OFFSET('Government Impact_baseline'!$C$205,'Sensitivity 2'!$AV$72,'Sensitivity 2'!AV84)</f>
        <v>1122077.6106328536</v>
      </c>
      <c r="BC84" s="150">
        <f ca="1">OFFSET('Government Impact_baseline'!$C$244,'Sensitivity 2'!$AV$72,'Sensitivity 2'!AV84)</f>
        <v>1122077.6106328536</v>
      </c>
    </row>
    <row r="85" spans="48:55" x14ac:dyDescent="0.3">
      <c r="AV85" s="155">
        <v>13</v>
      </c>
      <c r="AW85" s="150">
        <f ca="1">OFFSET('Government Impact_baseline'!$C$8,'Sensitivity 2'!$AV$72,'Sensitivity 2'!AV85)</f>
        <v>1862783.8405220169</v>
      </c>
      <c r="AX85" s="150">
        <f ca="1">OFFSET('Government Impact_baseline'!$C$48,'Sensitivity 2'!$AV$72,'Sensitivity 2'!AV85)</f>
        <v>1862783.8405220169</v>
      </c>
      <c r="AY85" s="150">
        <f ca="1">OFFSET('Government Impact_baseline'!$C$88,'Sensitivity 2'!$AV$72,'Sensitivity 2'!AV85)</f>
        <v>1862783.8405220169</v>
      </c>
      <c r="AZ85" s="150">
        <f ca="1">OFFSET('Government Impact_baseline'!$C$127,'Sensitivity 2'!$AV$72,'Sensitivity 2'!AV85)</f>
        <v>1862783.8405220169</v>
      </c>
      <c r="BA85" s="150">
        <f ca="1">OFFSET('Government Impact_baseline'!$C$166,'Sensitivity 2'!$AV$72,'Sensitivity 2'!AV85)</f>
        <v>1862783.8405220169</v>
      </c>
      <c r="BB85" s="150">
        <f ca="1">OFFSET('Government Impact_baseline'!$C$205,'Sensitivity 2'!$AV$72,'Sensitivity 2'!AV85)</f>
        <v>1862783.8405220169</v>
      </c>
      <c r="BC85" s="150">
        <f ca="1">OFFSET('Government Impact_baseline'!$C$244,'Sensitivity 2'!$AV$72,'Sensitivity 2'!AV85)</f>
        <v>1862783.8405220169</v>
      </c>
    </row>
    <row r="86" spans="48:55" x14ac:dyDescent="0.3">
      <c r="AV86" s="155">
        <v>14</v>
      </c>
      <c r="AW86" s="150">
        <f ca="1">OFFSET('Government Impact_baseline'!$C$8,'Sensitivity 2'!$AV$72,'Sensitivity 2'!AV86)</f>
        <v>4094925.173276694</v>
      </c>
      <c r="AX86" s="150">
        <f ca="1">OFFSET('Government Impact_baseline'!$C$48,'Sensitivity 2'!$AV$72,'Sensitivity 2'!AV86)</f>
        <v>4094925.173276694</v>
      </c>
      <c r="AY86" s="150">
        <f ca="1">OFFSET('Government Impact_baseline'!$C$88,'Sensitivity 2'!$AV$72,'Sensitivity 2'!AV86)</f>
        <v>4094925.173276694</v>
      </c>
      <c r="AZ86" s="150">
        <f ca="1">OFFSET('Government Impact_baseline'!$C$127,'Sensitivity 2'!$AV$72,'Sensitivity 2'!AV86)</f>
        <v>4094925.173276694</v>
      </c>
      <c r="BA86" s="150">
        <f ca="1">OFFSET('Government Impact_baseline'!$C$166,'Sensitivity 2'!$AV$72,'Sensitivity 2'!AV86)</f>
        <v>4094925.173276694</v>
      </c>
      <c r="BB86" s="150">
        <f ca="1">OFFSET('Government Impact_baseline'!$C$205,'Sensitivity 2'!$AV$72,'Sensitivity 2'!AV86)</f>
        <v>4094925.173276694</v>
      </c>
      <c r="BC86" s="150">
        <f ca="1">OFFSET('Government Impact_baseline'!$C$244,'Sensitivity 2'!$AV$72,'Sensitivity 2'!AV86)</f>
        <v>4094925.173276694</v>
      </c>
    </row>
    <row r="87" spans="48:55" x14ac:dyDescent="0.3">
      <c r="AV87" s="155">
        <v>15</v>
      </c>
      <c r="AW87" s="150">
        <f ca="1">OFFSET('Government Impact_baseline'!$C$8,'Sensitivity 2'!$AV$72,'Sensitivity 2'!AV87)</f>
        <v>1173332.2925104445</v>
      </c>
      <c r="AX87" s="150">
        <f ca="1">OFFSET('Government Impact_baseline'!$C$48,'Sensitivity 2'!$AV$72,'Sensitivity 2'!AV87)</f>
        <v>1173332.2925104445</v>
      </c>
      <c r="AY87" s="150">
        <f ca="1">OFFSET('Government Impact_baseline'!$C$88,'Sensitivity 2'!$AV$72,'Sensitivity 2'!AV87)</f>
        <v>1173332.2925104445</v>
      </c>
      <c r="AZ87" s="150">
        <f ca="1">OFFSET('Government Impact_baseline'!$C$127,'Sensitivity 2'!$AV$72,'Sensitivity 2'!AV87)</f>
        <v>1173332.2925104445</v>
      </c>
      <c r="BA87" s="150">
        <f ca="1">OFFSET('Government Impact_baseline'!$C$166,'Sensitivity 2'!$AV$72,'Sensitivity 2'!AV87)</f>
        <v>1173332.2925104445</v>
      </c>
      <c r="BB87" s="150">
        <f ca="1">OFFSET('Government Impact_baseline'!$C$205,'Sensitivity 2'!$AV$72,'Sensitivity 2'!AV87)</f>
        <v>1173332.2925104445</v>
      </c>
      <c r="BC87" s="150">
        <f ca="1">OFFSET('Government Impact_baseline'!$C$244,'Sensitivity 2'!$AV$72,'Sensitivity 2'!AV87)</f>
        <v>1173332.2925104445</v>
      </c>
    </row>
    <row r="88" spans="48:55" x14ac:dyDescent="0.3">
      <c r="AV88" s="155">
        <v>16</v>
      </c>
      <c r="AW88" s="150">
        <f ca="1">OFFSET('Government Impact_baseline'!$C$8,'Sensitivity 2'!$AV$72,'Sensitivity 2'!AV88)</f>
        <v>1190932.2768981012</v>
      </c>
      <c r="AX88" s="150">
        <f ca="1">OFFSET('Government Impact_baseline'!$C$48,'Sensitivity 2'!$AV$72,'Sensitivity 2'!AV88)</f>
        <v>1190932.2768981012</v>
      </c>
      <c r="AY88" s="150">
        <f ca="1">OFFSET('Government Impact_baseline'!$C$88,'Sensitivity 2'!$AV$72,'Sensitivity 2'!AV88)</f>
        <v>1190932.2768981012</v>
      </c>
      <c r="AZ88" s="150">
        <f ca="1">OFFSET('Government Impact_baseline'!$C$127,'Sensitivity 2'!$AV$72,'Sensitivity 2'!AV88)</f>
        <v>1190932.2768981012</v>
      </c>
      <c r="BA88" s="150">
        <f ca="1">OFFSET('Government Impact_baseline'!$C$166,'Sensitivity 2'!$AV$72,'Sensitivity 2'!AV88)</f>
        <v>1190932.2768981012</v>
      </c>
      <c r="BB88" s="150">
        <f ca="1">OFFSET('Government Impact_baseline'!$C$205,'Sensitivity 2'!$AV$72,'Sensitivity 2'!AV88)</f>
        <v>1190932.2768981012</v>
      </c>
      <c r="BC88" s="150">
        <f ca="1">OFFSET('Government Impact_baseline'!$C$244,'Sensitivity 2'!$AV$72,'Sensitivity 2'!AV88)</f>
        <v>1190932.2768981012</v>
      </c>
    </row>
    <row r="89" spans="48:55" x14ac:dyDescent="0.3">
      <c r="AV89" s="155">
        <v>17</v>
      </c>
      <c r="AW89" s="150">
        <f ca="1">OFFSET('Government Impact_baseline'!$C$8,'Sensitivity 2'!$AV$72,'Sensitivity 2'!AV89)</f>
        <v>1208796.2610515726</v>
      </c>
      <c r="AX89" s="150">
        <f ca="1">OFFSET('Government Impact_baseline'!$C$48,'Sensitivity 2'!$AV$72,'Sensitivity 2'!AV89)</f>
        <v>1208796.2610515726</v>
      </c>
      <c r="AY89" s="150">
        <f ca="1">OFFSET('Government Impact_baseline'!$C$88,'Sensitivity 2'!$AV$72,'Sensitivity 2'!AV89)</f>
        <v>1208796.2610515726</v>
      </c>
      <c r="AZ89" s="150">
        <f ca="1">OFFSET('Government Impact_baseline'!$C$127,'Sensitivity 2'!$AV$72,'Sensitivity 2'!AV89)</f>
        <v>1208796.2610515726</v>
      </c>
      <c r="BA89" s="150">
        <f ca="1">OFFSET('Government Impact_baseline'!$C$166,'Sensitivity 2'!$AV$72,'Sensitivity 2'!AV89)</f>
        <v>1208796.2610515726</v>
      </c>
      <c r="BB89" s="150">
        <f ca="1">OFFSET('Government Impact_baseline'!$C$205,'Sensitivity 2'!$AV$72,'Sensitivity 2'!AV89)</f>
        <v>1208796.2610515726</v>
      </c>
      <c r="BC89" s="150">
        <f ca="1">OFFSET('Government Impact_baseline'!$C$244,'Sensitivity 2'!$AV$72,'Sensitivity 2'!AV89)</f>
        <v>1208796.2610515726</v>
      </c>
    </row>
    <row r="90" spans="48:55" x14ac:dyDescent="0.3">
      <c r="AV90" s="155">
        <v>18</v>
      </c>
      <c r="AW90" s="150">
        <f ca="1">OFFSET('Government Impact_baseline'!$C$8,'Sensitivity 2'!$AV$72,'Sensitivity 2'!AV90)</f>
        <v>1226928.204967346</v>
      </c>
      <c r="AX90" s="150">
        <f ca="1">OFFSET('Government Impact_baseline'!$C$48,'Sensitivity 2'!$AV$72,'Sensitivity 2'!AV90)</f>
        <v>1226928.204967346</v>
      </c>
      <c r="AY90" s="150">
        <f ca="1">OFFSET('Government Impact_baseline'!$C$88,'Sensitivity 2'!$AV$72,'Sensitivity 2'!AV90)</f>
        <v>1226928.204967346</v>
      </c>
      <c r="AZ90" s="150">
        <f ca="1">OFFSET('Government Impact_baseline'!$C$127,'Sensitivity 2'!$AV$72,'Sensitivity 2'!AV90)</f>
        <v>1226928.204967346</v>
      </c>
      <c r="BA90" s="150">
        <f ca="1">OFFSET('Government Impact_baseline'!$C$166,'Sensitivity 2'!$AV$72,'Sensitivity 2'!AV90)</f>
        <v>1226928.204967346</v>
      </c>
      <c r="BB90" s="150">
        <f ca="1">OFFSET('Government Impact_baseline'!$C$205,'Sensitivity 2'!$AV$72,'Sensitivity 2'!AV90)</f>
        <v>1226928.204967346</v>
      </c>
      <c r="BC90" s="150">
        <f ca="1">OFFSET('Government Impact_baseline'!$C$244,'Sensitivity 2'!$AV$72,'Sensitivity 2'!AV90)</f>
        <v>1226928.204967346</v>
      </c>
    </row>
    <row r="91" spans="48:55" x14ac:dyDescent="0.3">
      <c r="AV91" s="155">
        <v>19</v>
      </c>
      <c r="AW91" s="150">
        <f ca="1">OFFSET('Government Impact_baseline'!$C$8,'Sensitivity 2'!$AV$72,'Sensitivity 2'!AV91)</f>
        <v>1245332.128041856</v>
      </c>
      <c r="AX91" s="150">
        <f ca="1">OFFSET('Government Impact_baseline'!$C$48,'Sensitivity 2'!$AV$72,'Sensitivity 2'!AV91)</f>
        <v>1245332.128041856</v>
      </c>
      <c r="AY91" s="150">
        <f ca="1">OFFSET('Government Impact_baseline'!$C$88,'Sensitivity 2'!$AV$72,'Sensitivity 2'!AV91)</f>
        <v>1245332.128041856</v>
      </c>
      <c r="AZ91" s="150">
        <f ca="1">OFFSET('Government Impact_baseline'!$C$127,'Sensitivity 2'!$AV$72,'Sensitivity 2'!AV91)</f>
        <v>1245332.128041856</v>
      </c>
      <c r="BA91" s="150">
        <f ca="1">OFFSET('Government Impact_baseline'!$C$166,'Sensitivity 2'!$AV$72,'Sensitivity 2'!AV91)</f>
        <v>1245332.128041856</v>
      </c>
      <c r="BB91" s="150">
        <f ca="1">OFFSET('Government Impact_baseline'!$C$205,'Sensitivity 2'!$AV$72,'Sensitivity 2'!AV91)</f>
        <v>1245332.128041856</v>
      </c>
      <c r="BC91" s="150">
        <f ca="1">OFFSET('Government Impact_baseline'!$C$244,'Sensitivity 2'!$AV$72,'Sensitivity 2'!AV91)</f>
        <v>1245332.128041856</v>
      </c>
    </row>
    <row r="92" spans="48:55" x14ac:dyDescent="0.3">
      <c r="AV92" s="155">
        <v>20</v>
      </c>
      <c r="AW92" s="150">
        <f ca="1">OFFSET('Government Impact_baseline'!$C$8,'Sensitivity 2'!$AV$72,'Sensitivity 2'!AV92)</f>
        <v>1264012.1099624839</v>
      </c>
      <c r="AX92" s="150">
        <f ca="1">OFFSET('Government Impact_baseline'!$C$48,'Sensitivity 2'!$AV$72,'Sensitivity 2'!AV92)</f>
        <v>1264012.1099624839</v>
      </c>
      <c r="AY92" s="150">
        <f ca="1">OFFSET('Government Impact_baseline'!$C$88,'Sensitivity 2'!$AV$72,'Sensitivity 2'!AV92)</f>
        <v>1264012.1099624839</v>
      </c>
      <c r="AZ92" s="150">
        <f ca="1">OFFSET('Government Impact_baseline'!$C$127,'Sensitivity 2'!$AV$72,'Sensitivity 2'!AV92)</f>
        <v>1264012.1099624839</v>
      </c>
      <c r="BA92" s="150">
        <f ca="1">OFFSET('Government Impact_baseline'!$C$166,'Sensitivity 2'!$AV$72,'Sensitivity 2'!AV92)</f>
        <v>1264012.1099624839</v>
      </c>
      <c r="BB92" s="150">
        <f ca="1">OFFSET('Government Impact_baseline'!$C$205,'Sensitivity 2'!$AV$72,'Sensitivity 2'!AV92)</f>
        <v>1264012.1099624839</v>
      </c>
      <c r="BC92" s="150">
        <f ca="1">OFFSET('Government Impact_baseline'!$C$244,'Sensitivity 2'!$AV$72,'Sensitivity 2'!AV92)</f>
        <v>1264012.1099624839</v>
      </c>
    </row>
    <row r="93" spans="48:55" x14ac:dyDescent="0.3">
      <c r="AV93" s="155">
        <v>21</v>
      </c>
      <c r="AW93" s="150">
        <f ca="1">OFFSET('Government Impact_baseline'!$C$8,'Sensitivity 2'!$AV$72,'Sensitivity 2'!AV93)</f>
        <v>1282972.2916119208</v>
      </c>
      <c r="AX93" s="150">
        <f ca="1">OFFSET('Government Impact_baseline'!$C$48,'Sensitivity 2'!$AV$72,'Sensitivity 2'!AV93)</f>
        <v>1282972.2916119208</v>
      </c>
      <c r="AY93" s="150">
        <f ca="1">OFFSET('Government Impact_baseline'!$C$88,'Sensitivity 2'!$AV$72,'Sensitivity 2'!AV93)</f>
        <v>1282972.2916119208</v>
      </c>
      <c r="AZ93" s="150">
        <f ca="1">OFFSET('Government Impact_baseline'!$C$127,'Sensitivity 2'!$AV$72,'Sensitivity 2'!AV93)</f>
        <v>1282972.2916119208</v>
      </c>
      <c r="BA93" s="150">
        <f ca="1">OFFSET('Government Impact_baseline'!$C$166,'Sensitivity 2'!$AV$72,'Sensitivity 2'!AV93)</f>
        <v>1282972.2916119208</v>
      </c>
      <c r="BB93" s="150">
        <f ca="1">OFFSET('Government Impact_baseline'!$C$205,'Sensitivity 2'!$AV$72,'Sensitivity 2'!AV93)</f>
        <v>1282972.2916119208</v>
      </c>
      <c r="BC93" s="150">
        <f ca="1">OFFSET('Government Impact_baseline'!$C$244,'Sensitivity 2'!$AV$72,'Sensitivity 2'!AV93)</f>
        <v>1282972.2916119208</v>
      </c>
    </row>
    <row r="94" spans="48:55" x14ac:dyDescent="0.3">
      <c r="AV94" s="155">
        <v>22</v>
      </c>
      <c r="AW94" s="150">
        <f ca="1">OFFSET('Government Impact_baseline'!$C$8,'Sensitivity 2'!$AV$72,'Sensitivity 2'!AV94)</f>
        <v>1302216.8759860995</v>
      </c>
      <c r="AX94" s="150">
        <f ca="1">OFFSET('Government Impact_baseline'!$C$48,'Sensitivity 2'!$AV$72,'Sensitivity 2'!AV94)</f>
        <v>1302216.8759860995</v>
      </c>
      <c r="AY94" s="150">
        <f ca="1">OFFSET('Government Impact_baseline'!$C$88,'Sensitivity 2'!$AV$72,'Sensitivity 2'!AV94)</f>
        <v>1302216.8759860995</v>
      </c>
      <c r="AZ94" s="150">
        <f ca="1">OFFSET('Government Impact_baseline'!$C$127,'Sensitivity 2'!$AV$72,'Sensitivity 2'!AV94)</f>
        <v>1302216.8759860995</v>
      </c>
      <c r="BA94" s="150">
        <f ca="1">OFFSET('Government Impact_baseline'!$C$166,'Sensitivity 2'!$AV$72,'Sensitivity 2'!AV94)</f>
        <v>1302216.8759860995</v>
      </c>
      <c r="BB94" s="150">
        <f ca="1">OFFSET('Government Impact_baseline'!$C$205,'Sensitivity 2'!$AV$72,'Sensitivity 2'!AV94)</f>
        <v>1302216.8759860995</v>
      </c>
      <c r="BC94" s="150">
        <f ca="1">OFFSET('Government Impact_baseline'!$C$244,'Sensitivity 2'!$AV$72,'Sensitivity 2'!AV94)</f>
        <v>1302216.8759860995</v>
      </c>
    </row>
    <row r="95" spans="48:55" x14ac:dyDescent="0.3">
      <c r="AV95" s="155">
        <v>23</v>
      </c>
      <c r="AW95" s="150">
        <f ca="1">OFFSET('Government Impact_baseline'!$C$8,'Sensitivity 2'!$AV$72,'Sensitivity 2'!AV95)</f>
        <v>1321750.1291258908</v>
      </c>
      <c r="AX95" s="150">
        <f ca="1">OFFSET('Government Impact_baseline'!$C$48,'Sensitivity 2'!$AV$72,'Sensitivity 2'!AV95)</f>
        <v>1321750.1291258908</v>
      </c>
      <c r="AY95" s="150">
        <f ca="1">OFFSET('Government Impact_baseline'!$C$88,'Sensitivity 2'!$AV$72,'Sensitivity 2'!AV95)</f>
        <v>1321750.1291258908</v>
      </c>
      <c r="AZ95" s="150">
        <f ca="1">OFFSET('Government Impact_baseline'!$C$127,'Sensitivity 2'!$AV$72,'Sensitivity 2'!AV95)</f>
        <v>1321750.1291258908</v>
      </c>
      <c r="BA95" s="150">
        <f ca="1">OFFSET('Government Impact_baseline'!$C$166,'Sensitivity 2'!$AV$72,'Sensitivity 2'!AV95)</f>
        <v>1321750.1291258908</v>
      </c>
      <c r="BB95" s="150">
        <f ca="1">OFFSET('Government Impact_baseline'!$C$205,'Sensitivity 2'!$AV$72,'Sensitivity 2'!AV95)</f>
        <v>1321750.1291258908</v>
      </c>
      <c r="BC95" s="150">
        <f ca="1">OFFSET('Government Impact_baseline'!$C$244,'Sensitivity 2'!$AV$72,'Sensitivity 2'!AV95)</f>
        <v>1321750.1291258908</v>
      </c>
    </row>
    <row r="96" spans="48:55" x14ac:dyDescent="0.3">
      <c r="AV96" s="155">
        <v>24</v>
      </c>
      <c r="AW96" s="150">
        <f ca="1">OFFSET('Government Impact_baseline'!$C$8,'Sensitivity 2'!$AV$72,'Sensitivity 2'!AV96)</f>
        <v>1341576.3810627791</v>
      </c>
      <c r="AX96" s="150">
        <f ca="1">OFFSET('Government Impact_baseline'!$C$48,'Sensitivity 2'!$AV$72,'Sensitivity 2'!AV96)</f>
        <v>1341576.3810627791</v>
      </c>
      <c r="AY96" s="150">
        <f ca="1">OFFSET('Government Impact_baseline'!$C$88,'Sensitivity 2'!$AV$72,'Sensitivity 2'!AV96)</f>
        <v>1341576.3810627791</v>
      </c>
      <c r="AZ96" s="150">
        <f ca="1">OFFSET('Government Impact_baseline'!$C$127,'Sensitivity 2'!$AV$72,'Sensitivity 2'!AV96)</f>
        <v>1341576.3810627791</v>
      </c>
      <c r="BA96" s="150">
        <f ca="1">OFFSET('Government Impact_baseline'!$C$166,'Sensitivity 2'!$AV$72,'Sensitivity 2'!AV96)</f>
        <v>1341576.3810627791</v>
      </c>
      <c r="BB96" s="150">
        <f ca="1">OFFSET('Government Impact_baseline'!$C$205,'Sensitivity 2'!$AV$72,'Sensitivity 2'!AV96)</f>
        <v>1341576.3810627791</v>
      </c>
      <c r="BC96" s="150">
        <f ca="1">OFFSET('Government Impact_baseline'!$C$244,'Sensitivity 2'!$AV$72,'Sensitivity 2'!AV96)</f>
        <v>1341576.3810627791</v>
      </c>
    </row>
    <row r="97" spans="49:55" x14ac:dyDescent="0.3">
      <c r="AW97" s="168">
        <f ca="1">SUM(AW72:AW96)</f>
        <v>30244807.033714008</v>
      </c>
      <c r="AX97" s="168">
        <f ca="1">SUM(AX72:AX96)</f>
        <v>30244807.033714008</v>
      </c>
      <c r="AY97" s="168">
        <f t="shared" ref="AY97:BC97" ca="1" si="13">SUM(AY72:AY96)</f>
        <v>30244807.033714008</v>
      </c>
      <c r="AZ97" s="168">
        <f t="shared" ca="1" si="13"/>
        <v>30244807.033714008</v>
      </c>
      <c r="BA97" s="168">
        <f t="shared" ca="1" si="13"/>
        <v>30244807.033714008</v>
      </c>
      <c r="BB97" s="168">
        <f t="shared" ca="1" si="13"/>
        <v>30244807.033714008</v>
      </c>
      <c r="BC97" s="168">
        <f t="shared" ca="1" si="13"/>
        <v>30244807.033714008</v>
      </c>
    </row>
  </sheetData>
  <mergeCells count="3">
    <mergeCell ref="D1:D2"/>
    <mergeCell ref="J1:J2"/>
    <mergeCell ref="Z1:AE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The project</vt:lpstr>
      <vt:lpstr>The task</vt:lpstr>
      <vt:lpstr>Project Assumptions</vt:lpstr>
      <vt:lpstr>Project Cash Flows</vt:lpstr>
      <vt:lpstr>Government Impact_baseline</vt:lpstr>
      <vt:lpstr>Sensitivity 1</vt:lpstr>
      <vt:lpstr>Sensitivity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Aldunate</dc:creator>
  <cp:lastModifiedBy>Rial, Isabel</cp:lastModifiedBy>
  <dcterms:created xsi:type="dcterms:W3CDTF">2019-10-15T13:34:13Z</dcterms:created>
  <dcterms:modified xsi:type="dcterms:W3CDTF">2019-11-11T11:56:14Z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