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IRial\My Local Documents\1. My documents\CEF_2019\Presentation\Day 2_November 13\WG2\"/>
    </mc:Choice>
  </mc:AlternateContent>
  <xr:revisionPtr revIDLastSave="0" documentId="13_ncr:1_{E92F0D71-68CD-4ED8-8DAF-FF62F0140B7F}" xr6:coauthVersionLast="41" xr6:coauthVersionMax="41" xr10:uidLastSave="{00000000-0000-0000-0000-000000000000}"/>
  <bookViews>
    <workbookView xWindow="-110" yWindow="-110" windowWidth="19420" windowHeight="10420" activeTab="3" xr2:uid="{AE300F87-5004-42AD-8CCC-3C85B851992A}"/>
  </bookViews>
  <sheets>
    <sheet name="The portfolio" sheetId="9" r:id="rId1"/>
    <sheet name="Macro Var" sheetId="5" r:id="rId2"/>
    <sheet name="The PIP portfolio" sheetId="3" r:id="rId3"/>
    <sheet name="Simulation of 2017 MTEF" sheetId="7" r:id="rId4"/>
  </sheets>
  <externalReferences>
    <externalReference r:id="rId5"/>
  </externalReferences>
  <definedNames>
    <definedName name="_xlnm._FilterDatabase" localSheetId="2" hidden="1">'The PIP portfolio'!$D$3:$AP$31</definedName>
    <definedName name="currency">[1]Menu!$F$11</definedName>
    <definedName name="start_year_portfolio">[1]Menu!$F$10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2" i="3" l="1"/>
  <c r="E12" i="7"/>
  <c r="E7" i="7"/>
  <c r="E8" i="7"/>
  <c r="E9" i="7"/>
  <c r="E10" i="7"/>
  <c r="E6" i="7"/>
  <c r="E3" i="7"/>
  <c r="Z13" i="3"/>
  <c r="E5" i="7" l="1"/>
  <c r="E18" i="7" s="1"/>
  <c r="E19" i="7" s="1"/>
  <c r="BL4" i="3"/>
  <c r="BM4" i="3"/>
  <c r="BN4" i="3"/>
  <c r="BO4" i="3"/>
  <c r="BM5" i="3"/>
  <c r="BN5" i="3"/>
  <c r="BO5" i="3"/>
  <c r="BN6" i="3"/>
  <c r="BO6" i="3"/>
  <c r="BM7" i="3"/>
  <c r="BN7" i="3"/>
  <c r="BO7" i="3"/>
  <c r="BL8" i="3"/>
  <c r="BM8" i="3"/>
  <c r="BN8" i="3"/>
  <c r="BO8" i="3"/>
  <c r="BO10" i="3"/>
  <c r="BM11" i="3"/>
  <c r="BN11" i="3"/>
  <c r="BO11" i="3"/>
  <c r="BO12" i="3"/>
  <c r="BM15" i="3"/>
  <c r="BN15" i="3"/>
  <c r="BO15" i="3"/>
  <c r="BK17" i="3"/>
  <c r="BN17" i="3"/>
  <c r="BO17" i="3"/>
  <c r="BN21" i="3"/>
  <c r="BO21" i="3"/>
  <c r="BN22" i="3"/>
  <c r="BO22" i="3"/>
  <c r="BL24" i="3"/>
  <c r="BM24" i="3"/>
  <c r="BN24" i="3"/>
  <c r="BO24" i="3"/>
  <c r="BM26" i="3"/>
  <c r="BN26" i="3"/>
  <c r="BO26" i="3"/>
  <c r="BM28" i="3"/>
  <c r="BN28" i="3"/>
  <c r="BO28" i="3"/>
  <c r="BN29" i="3"/>
  <c r="BO29" i="3"/>
  <c r="BM30" i="3"/>
  <c r="BN30" i="3"/>
  <c r="BO30" i="3"/>
  <c r="BN31" i="3"/>
  <c r="BO31" i="3"/>
  <c r="BJ19" i="3"/>
  <c r="BJ25" i="3"/>
  <c r="BJ29" i="3"/>
  <c r="BJ30" i="3"/>
  <c r="BJ31" i="3"/>
  <c r="BJ6" i="3"/>
  <c r="BJ7" i="3"/>
  <c r="BJ9" i="3"/>
  <c r="BJ11" i="3"/>
  <c r="BJ12" i="3"/>
  <c r="BJ14" i="3"/>
  <c r="BJ16" i="3"/>
  <c r="BJ17" i="3"/>
  <c r="E32" i="7"/>
  <c r="F32" i="7"/>
  <c r="G32" i="7"/>
  <c r="H32" i="7"/>
  <c r="I32" i="7"/>
  <c r="J32" i="7"/>
  <c r="K32" i="7"/>
  <c r="D32" i="7"/>
  <c r="D33" i="7"/>
  <c r="D34" i="7"/>
  <c r="D35" i="7"/>
  <c r="D36" i="7"/>
  <c r="D29" i="7"/>
  <c r="I23" i="7"/>
  <c r="J23" i="7" s="1"/>
  <c r="F23" i="7"/>
  <c r="G23" i="7" s="1"/>
  <c r="H23" i="7" s="1"/>
  <c r="D25" i="7"/>
  <c r="D26" i="7"/>
  <c r="D27" i="7"/>
  <c r="D28" i="7"/>
  <c r="C25" i="7"/>
  <c r="C32" i="7"/>
  <c r="C33" i="7"/>
  <c r="C34" i="7"/>
  <c r="C35" i="7"/>
  <c r="C36" i="7"/>
  <c r="C29" i="7"/>
  <c r="C26" i="7"/>
  <c r="C27" i="7"/>
  <c r="C28" i="7"/>
  <c r="K76" i="5"/>
  <c r="K12" i="5" s="1"/>
  <c r="K37" i="5" s="1"/>
  <c r="L76" i="5"/>
  <c r="M76" i="5"/>
  <c r="N76" i="5"/>
  <c r="O76" i="5"/>
  <c r="O12" i="5" s="1"/>
  <c r="O37" i="5" s="1"/>
  <c r="P76" i="5"/>
  <c r="P12" i="5" s="1"/>
  <c r="P37" i="5" s="1"/>
  <c r="Q76" i="5"/>
  <c r="R76" i="5"/>
  <c r="R12" i="5" s="1"/>
  <c r="R37" i="5" s="1"/>
  <c r="S76" i="5"/>
  <c r="T76" i="5"/>
  <c r="U76" i="5"/>
  <c r="V76" i="5"/>
  <c r="W76" i="5"/>
  <c r="X76" i="5"/>
  <c r="X12" i="5" s="1"/>
  <c r="X37" i="5" s="1"/>
  <c r="Y76" i="5"/>
  <c r="Z76" i="5"/>
  <c r="Z12" i="5" s="1"/>
  <c r="Z37" i="5" s="1"/>
  <c r="AA76" i="5"/>
  <c r="AA12" i="5" s="1"/>
  <c r="AA37" i="5" s="1"/>
  <c r="AB76" i="5"/>
  <c r="AC76" i="5"/>
  <c r="AD76" i="5"/>
  <c r="AE76" i="5"/>
  <c r="AE12" i="5" s="1"/>
  <c r="AE37" i="5" s="1"/>
  <c r="AF76" i="5"/>
  <c r="AF12" i="5" s="1"/>
  <c r="AF37" i="5" s="1"/>
  <c r="BL3" i="3"/>
  <c r="BM3" i="3" s="1"/>
  <c r="BN3" i="3" s="1"/>
  <c r="BO3" i="3" s="1"/>
  <c r="BD3" i="3"/>
  <c r="BE3" i="3" s="1"/>
  <c r="BF3" i="3" s="1"/>
  <c r="BG3" i="3" s="1"/>
  <c r="F114" i="5"/>
  <c r="F113" i="5"/>
  <c r="H111" i="5"/>
  <c r="H16" i="5" s="1"/>
  <c r="H41" i="5" s="1"/>
  <c r="G111" i="5"/>
  <c r="G16" i="5" s="1"/>
  <c r="G41" i="5" s="1"/>
  <c r="I110" i="5"/>
  <c r="J110" i="5" s="1"/>
  <c r="F104" i="5"/>
  <c r="F105" i="5" s="1"/>
  <c r="S102" i="5"/>
  <c r="S14" i="5" s="1"/>
  <c r="Q102" i="5"/>
  <c r="Q14" i="5" s="1"/>
  <c r="AF101" i="5"/>
  <c r="AF102" i="5" s="1"/>
  <c r="AF14" i="5" s="1"/>
  <c r="AE101" i="5"/>
  <c r="AE102" i="5" s="1"/>
  <c r="AE14" i="5" s="1"/>
  <c r="AD101" i="5"/>
  <c r="AD102" i="5" s="1"/>
  <c r="AC101" i="5"/>
  <c r="AB101" i="5"/>
  <c r="AA101" i="5"/>
  <c r="AA102" i="5" s="1"/>
  <c r="AA14" i="5" s="1"/>
  <c r="Z101" i="5"/>
  <c r="Y101" i="5"/>
  <c r="Y102" i="5" s="1"/>
  <c r="Y14" i="5" s="1"/>
  <c r="X101" i="5"/>
  <c r="X102" i="5" s="1"/>
  <c r="X14" i="5" s="1"/>
  <c r="W101" i="5"/>
  <c r="W102" i="5" s="1"/>
  <c r="W14" i="5" s="1"/>
  <c r="V101" i="5"/>
  <c r="V102" i="5" s="1"/>
  <c r="U101" i="5"/>
  <c r="T101" i="5"/>
  <c r="S101" i="5"/>
  <c r="R101" i="5"/>
  <c r="Q101" i="5"/>
  <c r="P101" i="5"/>
  <c r="P102" i="5" s="1"/>
  <c r="P14" i="5" s="1"/>
  <c r="O101" i="5"/>
  <c r="O102" i="5" s="1"/>
  <c r="O14" i="5" s="1"/>
  <c r="N101" i="5"/>
  <c r="N102" i="5" s="1"/>
  <c r="M101" i="5"/>
  <c r="L101" i="5"/>
  <c r="K101" i="5"/>
  <c r="K102" i="5" s="1"/>
  <c r="K14" i="5" s="1"/>
  <c r="J101" i="5"/>
  <c r="I101" i="5"/>
  <c r="I104" i="5" s="1"/>
  <c r="I105" i="5" s="1"/>
  <c r="I17" i="5" s="1"/>
  <c r="I42" i="5" s="1"/>
  <c r="H101" i="5"/>
  <c r="H102" i="5" s="1"/>
  <c r="H14" i="5" s="1"/>
  <c r="G101" i="5"/>
  <c r="G102" i="5" s="1"/>
  <c r="G14" i="5" s="1"/>
  <c r="AF98" i="5"/>
  <c r="AE98" i="5"/>
  <c r="AD98" i="5"/>
  <c r="AD13" i="5" s="1"/>
  <c r="AC98" i="5"/>
  <c r="AB98" i="5"/>
  <c r="AA98" i="5"/>
  <c r="Z98" i="5"/>
  <c r="Z13" i="5" s="1"/>
  <c r="Z55" i="5" s="1"/>
  <c r="Y98" i="5"/>
  <c r="X98" i="5"/>
  <c r="W98" i="5"/>
  <c r="V98" i="5"/>
  <c r="V13" i="5" s="1"/>
  <c r="U98" i="5"/>
  <c r="T98" i="5"/>
  <c r="S98" i="5"/>
  <c r="R98" i="5"/>
  <c r="R13" i="5" s="1"/>
  <c r="Q98" i="5"/>
  <c r="P98" i="5"/>
  <c r="O98" i="5"/>
  <c r="N98" i="5"/>
  <c r="N13" i="5" s="1"/>
  <c r="M98" i="5"/>
  <c r="L98" i="5"/>
  <c r="K98" i="5"/>
  <c r="J98" i="5"/>
  <c r="J13" i="5" s="1"/>
  <c r="J55" i="5" s="1"/>
  <c r="I98" i="5"/>
  <c r="H98" i="5"/>
  <c r="G98" i="5"/>
  <c r="AE95" i="5"/>
  <c r="AE8" i="5" s="1"/>
  <c r="AE33" i="5" s="1"/>
  <c r="U95" i="5"/>
  <c r="U8" i="5" s="1"/>
  <c r="U33" i="5" s="1"/>
  <c r="S95" i="5"/>
  <c r="K95" i="5"/>
  <c r="G95" i="5"/>
  <c r="AF94" i="5"/>
  <c r="AF95" i="5" s="1"/>
  <c r="AE94" i="5"/>
  <c r="AD94" i="5"/>
  <c r="AD95" i="5" s="1"/>
  <c r="AD8" i="5" s="1"/>
  <c r="AD33" i="5" s="1"/>
  <c r="AC94" i="5"/>
  <c r="AC95" i="5" s="1"/>
  <c r="AC8" i="5" s="1"/>
  <c r="AC33" i="5" s="1"/>
  <c r="AB94" i="5"/>
  <c r="AB95" i="5" s="1"/>
  <c r="AA94" i="5"/>
  <c r="AA95" i="5" s="1"/>
  <c r="AA8" i="5" s="1"/>
  <c r="AA33" i="5" s="1"/>
  <c r="Z94" i="5"/>
  <c r="Z95" i="5" s="1"/>
  <c r="Z8" i="5" s="1"/>
  <c r="Z33" i="5" s="1"/>
  <c r="Y94" i="5"/>
  <c r="Y95" i="5" s="1"/>
  <c r="X94" i="5"/>
  <c r="X95" i="5" s="1"/>
  <c r="W94" i="5"/>
  <c r="W95" i="5" s="1"/>
  <c r="W8" i="5" s="1"/>
  <c r="W33" i="5" s="1"/>
  <c r="V94" i="5"/>
  <c r="V95" i="5" s="1"/>
  <c r="V8" i="5" s="1"/>
  <c r="V33" i="5" s="1"/>
  <c r="U94" i="5"/>
  <c r="T94" i="5"/>
  <c r="T95" i="5" s="1"/>
  <c r="S94" i="5"/>
  <c r="R94" i="5"/>
  <c r="R95" i="5" s="1"/>
  <c r="R8" i="5" s="1"/>
  <c r="R33" i="5" s="1"/>
  <c r="Q94" i="5"/>
  <c r="Q95" i="5" s="1"/>
  <c r="P94" i="5"/>
  <c r="P95" i="5" s="1"/>
  <c r="O94" i="5"/>
  <c r="O95" i="5" s="1"/>
  <c r="O8" i="5" s="1"/>
  <c r="O33" i="5" s="1"/>
  <c r="N94" i="5"/>
  <c r="N95" i="5" s="1"/>
  <c r="N8" i="5" s="1"/>
  <c r="N33" i="5" s="1"/>
  <c r="M94" i="5"/>
  <c r="M95" i="5" s="1"/>
  <c r="M8" i="5" s="1"/>
  <c r="M33" i="5" s="1"/>
  <c r="L94" i="5"/>
  <c r="L95" i="5" s="1"/>
  <c r="K94" i="5"/>
  <c r="J94" i="5"/>
  <c r="J95" i="5" s="1"/>
  <c r="J8" i="5" s="1"/>
  <c r="J33" i="5" s="1"/>
  <c r="I94" i="5"/>
  <c r="I95" i="5" s="1"/>
  <c r="H94" i="5"/>
  <c r="H95" i="5" s="1"/>
  <c r="G94" i="5"/>
  <c r="AF92" i="5"/>
  <c r="AF9" i="5" s="1"/>
  <c r="AF10" i="5" s="1"/>
  <c r="AF35" i="5" s="1"/>
  <c r="AE92" i="5"/>
  <c r="AD92" i="5"/>
  <c r="AC92" i="5"/>
  <c r="AB92" i="5"/>
  <c r="AB9" i="5" s="1"/>
  <c r="AA92" i="5"/>
  <c r="Z92" i="5"/>
  <c r="Y92" i="5"/>
  <c r="X92" i="5"/>
  <c r="X9" i="5" s="1"/>
  <c r="X10" i="5" s="1"/>
  <c r="X35" i="5" s="1"/>
  <c r="W92" i="5"/>
  <c r="V92" i="5"/>
  <c r="U92" i="5"/>
  <c r="T92" i="5"/>
  <c r="T9" i="5" s="1"/>
  <c r="S92" i="5"/>
  <c r="R92" i="5"/>
  <c r="Q92" i="5"/>
  <c r="P92" i="5"/>
  <c r="P9" i="5" s="1"/>
  <c r="P10" i="5" s="1"/>
  <c r="P35" i="5" s="1"/>
  <c r="O92" i="5"/>
  <c r="N92" i="5"/>
  <c r="M92" i="5"/>
  <c r="L92" i="5"/>
  <c r="L9" i="5" s="1"/>
  <c r="K92" i="5"/>
  <c r="J92" i="5"/>
  <c r="I92" i="5"/>
  <c r="H92" i="5"/>
  <c r="H9" i="5" s="1"/>
  <c r="H10" i="5" s="1"/>
  <c r="H35" i="5" s="1"/>
  <c r="G92" i="5"/>
  <c r="AF89" i="5"/>
  <c r="AE89" i="5"/>
  <c r="AD89" i="5"/>
  <c r="AD15" i="5" s="1"/>
  <c r="AD40" i="5" s="1"/>
  <c r="AC89" i="5"/>
  <c r="AB89" i="5"/>
  <c r="AA89" i="5"/>
  <c r="Z89" i="5"/>
  <c r="Z15" i="5" s="1"/>
  <c r="Z40" i="5" s="1"/>
  <c r="Y89" i="5"/>
  <c r="X89" i="5"/>
  <c r="W89" i="5"/>
  <c r="V89" i="5"/>
  <c r="V15" i="5" s="1"/>
  <c r="V40" i="5" s="1"/>
  <c r="U89" i="5"/>
  <c r="T89" i="5"/>
  <c r="S89" i="5"/>
  <c r="R89" i="5"/>
  <c r="R15" i="5" s="1"/>
  <c r="R40" i="5" s="1"/>
  <c r="Q89" i="5"/>
  <c r="P89" i="5"/>
  <c r="O89" i="5"/>
  <c r="N89" i="5"/>
  <c r="N15" i="5" s="1"/>
  <c r="N40" i="5" s="1"/>
  <c r="M89" i="5"/>
  <c r="L89" i="5"/>
  <c r="K89" i="5"/>
  <c r="J89" i="5"/>
  <c r="J15" i="5" s="1"/>
  <c r="J40" i="5" s="1"/>
  <c r="I89" i="5"/>
  <c r="H89" i="5"/>
  <c r="G89" i="5"/>
  <c r="F88" i="5"/>
  <c r="F89" i="5" s="1"/>
  <c r="F85" i="5"/>
  <c r="J76" i="5"/>
  <c r="I76" i="5"/>
  <c r="I12" i="5" s="1"/>
  <c r="I37" i="5" s="1"/>
  <c r="H76" i="5"/>
  <c r="G76" i="5"/>
  <c r="F76" i="5"/>
  <c r="E76" i="5"/>
  <c r="E12" i="5" s="1"/>
  <c r="D76" i="5"/>
  <c r="D85" i="5" s="1"/>
  <c r="C76" i="5"/>
  <c r="C85" i="5" s="1"/>
  <c r="J65" i="5"/>
  <c r="I65" i="5"/>
  <c r="I18" i="5" s="1"/>
  <c r="I43" i="5" s="1"/>
  <c r="H65" i="5"/>
  <c r="G65" i="5"/>
  <c r="G18" i="5" s="1"/>
  <c r="G43" i="5" s="1"/>
  <c r="F65" i="5"/>
  <c r="F74" i="5" s="1"/>
  <c r="E65" i="5"/>
  <c r="E74" i="5" s="1"/>
  <c r="D65" i="5"/>
  <c r="D74" i="5" s="1"/>
  <c r="C65" i="5"/>
  <c r="D64" i="5"/>
  <c r="E64" i="5" s="1"/>
  <c r="F64" i="5" s="1"/>
  <c r="G64" i="5" s="1"/>
  <c r="H64" i="5" s="1"/>
  <c r="I64" i="5" s="1"/>
  <c r="J64" i="5" s="1"/>
  <c r="F61" i="5"/>
  <c r="E61" i="5"/>
  <c r="D61" i="5"/>
  <c r="C61" i="5"/>
  <c r="F59" i="5"/>
  <c r="F91" i="5" s="1"/>
  <c r="F92" i="5" s="1"/>
  <c r="E59" i="5"/>
  <c r="D59" i="5"/>
  <c r="C59" i="5"/>
  <c r="F58" i="5"/>
  <c r="F56" i="5"/>
  <c r="F57" i="5" s="1"/>
  <c r="F55" i="5"/>
  <c r="F97" i="5" s="1"/>
  <c r="E55" i="5"/>
  <c r="D55" i="5"/>
  <c r="C55" i="5"/>
  <c r="AF44" i="5"/>
  <c r="AE44" i="5"/>
  <c r="AD44" i="5"/>
  <c r="AC44" i="5"/>
  <c r="AB44" i="5"/>
  <c r="AA44" i="5"/>
  <c r="Z44" i="5"/>
  <c r="Y44" i="5"/>
  <c r="X44" i="5"/>
  <c r="W44" i="5"/>
  <c r="V44" i="5"/>
  <c r="U44" i="5"/>
  <c r="T44" i="5"/>
  <c r="S44" i="5"/>
  <c r="R44" i="5"/>
  <c r="Q44" i="5"/>
  <c r="P44" i="5"/>
  <c r="O44" i="5"/>
  <c r="N44" i="5"/>
  <c r="M44" i="5"/>
  <c r="L44" i="5"/>
  <c r="K44" i="5"/>
  <c r="J44" i="5"/>
  <c r="I44" i="5"/>
  <c r="H44" i="5"/>
  <c r="G44" i="5"/>
  <c r="F44" i="5"/>
  <c r="E44" i="5"/>
  <c r="D44" i="5"/>
  <c r="C44" i="5"/>
  <c r="AF43" i="5"/>
  <c r="AE43" i="5"/>
  <c r="AD43" i="5"/>
  <c r="AC43" i="5"/>
  <c r="AB43" i="5"/>
  <c r="AA43" i="5"/>
  <c r="Z43" i="5"/>
  <c r="Y43" i="5"/>
  <c r="X43" i="5"/>
  <c r="W43" i="5"/>
  <c r="V43" i="5"/>
  <c r="U43" i="5"/>
  <c r="T43" i="5"/>
  <c r="S43" i="5"/>
  <c r="R43" i="5"/>
  <c r="Q43" i="5"/>
  <c r="P43" i="5"/>
  <c r="O43" i="5"/>
  <c r="N43" i="5"/>
  <c r="M43" i="5"/>
  <c r="L43" i="5"/>
  <c r="K43" i="5"/>
  <c r="AF42" i="5"/>
  <c r="AE42" i="5"/>
  <c r="AD42" i="5"/>
  <c r="AC42" i="5"/>
  <c r="AB42" i="5"/>
  <c r="AA42" i="5"/>
  <c r="Z42" i="5"/>
  <c r="Y42" i="5"/>
  <c r="X42" i="5"/>
  <c r="W42" i="5"/>
  <c r="V42" i="5"/>
  <c r="U42" i="5"/>
  <c r="T42" i="5"/>
  <c r="S42" i="5"/>
  <c r="R42" i="5"/>
  <c r="Q42" i="5"/>
  <c r="P42" i="5"/>
  <c r="O42" i="5"/>
  <c r="N42" i="5"/>
  <c r="M42" i="5"/>
  <c r="L42" i="5"/>
  <c r="K42" i="5"/>
  <c r="F42" i="5"/>
  <c r="F40" i="5"/>
  <c r="E40" i="5"/>
  <c r="D40" i="5"/>
  <c r="C40" i="5"/>
  <c r="F39" i="5"/>
  <c r="F38" i="5"/>
  <c r="E38" i="5"/>
  <c r="D38" i="5"/>
  <c r="C38" i="5"/>
  <c r="F36" i="5"/>
  <c r="E36" i="5"/>
  <c r="D36" i="5"/>
  <c r="C36" i="5"/>
  <c r="F35" i="5"/>
  <c r="E35" i="5"/>
  <c r="D35" i="5"/>
  <c r="C35" i="5"/>
  <c r="F34" i="5"/>
  <c r="E34" i="5"/>
  <c r="D34" i="5"/>
  <c r="C34" i="5"/>
  <c r="F33" i="5"/>
  <c r="E33" i="5"/>
  <c r="D33" i="5"/>
  <c r="C33" i="5"/>
  <c r="AF26" i="5"/>
  <c r="AE26" i="5"/>
  <c r="AD26" i="5"/>
  <c r="AC26" i="5"/>
  <c r="AB26" i="5"/>
  <c r="AA26" i="5"/>
  <c r="Z26" i="5"/>
  <c r="Y26" i="5"/>
  <c r="X26" i="5"/>
  <c r="W26" i="5"/>
  <c r="V26" i="5"/>
  <c r="U26" i="5"/>
  <c r="T26" i="5"/>
  <c r="S26" i="5"/>
  <c r="R26" i="5"/>
  <c r="Q26" i="5"/>
  <c r="P26" i="5"/>
  <c r="O26" i="5"/>
  <c r="N26" i="5"/>
  <c r="M26" i="5"/>
  <c r="L26" i="5"/>
  <c r="K26" i="5"/>
  <c r="J26" i="5"/>
  <c r="I26" i="5"/>
  <c r="H26" i="5"/>
  <c r="G26" i="5"/>
  <c r="F26" i="5"/>
  <c r="E26" i="5"/>
  <c r="D26" i="5"/>
  <c r="AF25" i="5"/>
  <c r="AE25" i="5"/>
  <c r="AD25" i="5"/>
  <c r="AC25" i="5"/>
  <c r="AB25" i="5"/>
  <c r="AA25" i="5"/>
  <c r="Z25" i="5"/>
  <c r="Y25" i="5"/>
  <c r="X25" i="5"/>
  <c r="W25" i="5"/>
  <c r="V25" i="5"/>
  <c r="U25" i="5"/>
  <c r="T25" i="5"/>
  <c r="S25" i="5"/>
  <c r="R25" i="5"/>
  <c r="Q25" i="5"/>
  <c r="P25" i="5"/>
  <c r="O25" i="5"/>
  <c r="N25" i="5"/>
  <c r="M25" i="5"/>
  <c r="L25" i="5"/>
  <c r="K25" i="5"/>
  <c r="J25" i="5"/>
  <c r="I25" i="5"/>
  <c r="H25" i="5"/>
  <c r="G25" i="5"/>
  <c r="F25" i="5"/>
  <c r="E25" i="5"/>
  <c r="D25" i="5"/>
  <c r="AF24" i="5"/>
  <c r="AE24" i="5"/>
  <c r="AD24" i="5"/>
  <c r="AC24" i="5"/>
  <c r="AB24" i="5"/>
  <c r="AA24" i="5"/>
  <c r="Z24" i="5"/>
  <c r="Y24" i="5"/>
  <c r="X24" i="5"/>
  <c r="W24" i="5"/>
  <c r="V24" i="5"/>
  <c r="U24" i="5"/>
  <c r="T24" i="5"/>
  <c r="S24" i="5"/>
  <c r="R24" i="5"/>
  <c r="Q24" i="5"/>
  <c r="P24" i="5"/>
  <c r="O24" i="5"/>
  <c r="N24" i="5"/>
  <c r="M24" i="5"/>
  <c r="L24" i="5"/>
  <c r="K24" i="5"/>
  <c r="J24" i="5"/>
  <c r="I24" i="5"/>
  <c r="H24" i="5"/>
  <c r="G24" i="5"/>
  <c r="F24" i="5"/>
  <c r="E24" i="5"/>
  <c r="D24" i="5"/>
  <c r="AF23" i="5"/>
  <c r="AE23" i="5"/>
  <c r="AD23" i="5"/>
  <c r="AC23" i="5"/>
  <c r="AB23" i="5"/>
  <c r="AA23" i="5"/>
  <c r="Z23" i="5"/>
  <c r="Y23" i="5"/>
  <c r="X23" i="5"/>
  <c r="W23" i="5"/>
  <c r="V23" i="5"/>
  <c r="U23" i="5"/>
  <c r="T23" i="5"/>
  <c r="S23" i="5"/>
  <c r="R23" i="5"/>
  <c r="Q23" i="5"/>
  <c r="P23" i="5"/>
  <c r="O23" i="5"/>
  <c r="N23" i="5"/>
  <c r="M23" i="5"/>
  <c r="L23" i="5"/>
  <c r="K23" i="5"/>
  <c r="J23" i="5"/>
  <c r="I23" i="5"/>
  <c r="H23" i="5"/>
  <c r="G23" i="5"/>
  <c r="F23" i="5"/>
  <c r="E23" i="5"/>
  <c r="D23" i="5"/>
  <c r="J18" i="5"/>
  <c r="J43" i="5" s="1"/>
  <c r="H18" i="5"/>
  <c r="H43" i="5" s="1"/>
  <c r="F18" i="5"/>
  <c r="F43" i="5" s="1"/>
  <c r="C18" i="5"/>
  <c r="C43" i="5" s="1"/>
  <c r="E17" i="5"/>
  <c r="E42" i="5" s="1"/>
  <c r="D17" i="5"/>
  <c r="D42" i="5" s="1"/>
  <c r="C17" i="5"/>
  <c r="C42" i="5" s="1"/>
  <c r="F16" i="5"/>
  <c r="F41" i="5" s="1"/>
  <c r="D16" i="5"/>
  <c r="D41" i="5" s="1"/>
  <c r="AF15" i="5"/>
  <c r="AF40" i="5" s="1"/>
  <c r="AE15" i="5"/>
  <c r="AE40" i="5" s="1"/>
  <c r="AC15" i="5"/>
  <c r="AC40" i="5" s="1"/>
  <c r="AB15" i="5"/>
  <c r="AB40" i="5" s="1"/>
  <c r="AA15" i="5"/>
  <c r="AA40" i="5" s="1"/>
  <c r="Y15" i="5"/>
  <c r="Y40" i="5" s="1"/>
  <c r="X15" i="5"/>
  <c r="X40" i="5" s="1"/>
  <c r="W15" i="5"/>
  <c r="W40" i="5" s="1"/>
  <c r="U15" i="5"/>
  <c r="U40" i="5" s="1"/>
  <c r="T15" i="5"/>
  <c r="T40" i="5" s="1"/>
  <c r="S15" i="5"/>
  <c r="S40" i="5" s="1"/>
  <c r="Q15" i="5"/>
  <c r="Q40" i="5" s="1"/>
  <c r="P15" i="5"/>
  <c r="P40" i="5" s="1"/>
  <c r="O15" i="5"/>
  <c r="O40" i="5" s="1"/>
  <c r="M15" i="5"/>
  <c r="M40" i="5" s="1"/>
  <c r="L15" i="5"/>
  <c r="L40" i="5" s="1"/>
  <c r="K15" i="5"/>
  <c r="K40" i="5" s="1"/>
  <c r="I15" i="5"/>
  <c r="I40" i="5" s="1"/>
  <c r="H15" i="5"/>
  <c r="H40" i="5" s="1"/>
  <c r="G15" i="5"/>
  <c r="G40" i="5" s="1"/>
  <c r="AD14" i="5"/>
  <c r="V14" i="5"/>
  <c r="N14" i="5"/>
  <c r="E14" i="5"/>
  <c r="D14" i="5"/>
  <c r="D56" i="5" s="1"/>
  <c r="C14" i="5"/>
  <c r="C16" i="5" s="1"/>
  <c r="C41" i="5" s="1"/>
  <c r="AF13" i="5"/>
  <c r="AF38" i="5" s="1"/>
  <c r="AE13" i="5"/>
  <c r="AC13" i="5"/>
  <c r="AB13" i="5"/>
  <c r="AA13" i="5"/>
  <c r="Y13" i="5"/>
  <c r="X13" i="5"/>
  <c r="X38" i="5" s="1"/>
  <c r="W13" i="5"/>
  <c r="U13" i="5"/>
  <c r="T13" i="5"/>
  <c r="S13" i="5"/>
  <c r="Q13" i="5"/>
  <c r="P13" i="5"/>
  <c r="P38" i="5" s="1"/>
  <c r="O13" i="5"/>
  <c r="M13" i="5"/>
  <c r="L13" i="5"/>
  <c r="K13" i="5"/>
  <c r="I13" i="5"/>
  <c r="H13" i="5"/>
  <c r="H38" i="5" s="1"/>
  <c r="G13" i="5"/>
  <c r="AD12" i="5"/>
  <c r="AD37" i="5" s="1"/>
  <c r="AC12" i="5"/>
  <c r="AC37" i="5" s="1"/>
  <c r="AB12" i="5"/>
  <c r="AB37" i="5" s="1"/>
  <c r="Y12" i="5"/>
  <c r="Y37" i="5" s="1"/>
  <c r="W12" i="5"/>
  <c r="W37" i="5" s="1"/>
  <c r="V12" i="5"/>
  <c r="V37" i="5" s="1"/>
  <c r="U12" i="5"/>
  <c r="U37" i="5" s="1"/>
  <c r="T12" i="5"/>
  <c r="T37" i="5" s="1"/>
  <c r="S12" i="5"/>
  <c r="S37" i="5" s="1"/>
  <c r="Q12" i="5"/>
  <c r="Q37" i="5" s="1"/>
  <c r="N12" i="5"/>
  <c r="N37" i="5" s="1"/>
  <c r="M12" i="5"/>
  <c r="M37" i="5" s="1"/>
  <c r="L12" i="5"/>
  <c r="L37" i="5" s="1"/>
  <c r="J12" i="5"/>
  <c r="J37" i="5" s="1"/>
  <c r="H12" i="5"/>
  <c r="H37" i="5" s="1"/>
  <c r="G12" i="5"/>
  <c r="G37" i="5" s="1"/>
  <c r="F12" i="5"/>
  <c r="D12" i="5"/>
  <c r="D37" i="5" s="1"/>
  <c r="C12" i="5"/>
  <c r="C37" i="5" s="1"/>
  <c r="AE9" i="5"/>
  <c r="AD9" i="5"/>
  <c r="AD10" i="5" s="1"/>
  <c r="AD35" i="5" s="1"/>
  <c r="AC9" i="5"/>
  <c r="AC10" i="5" s="1"/>
  <c r="AC35" i="5" s="1"/>
  <c r="AA9" i="5"/>
  <c r="AA10" i="5" s="1"/>
  <c r="AA35" i="5" s="1"/>
  <c r="Z9" i="5"/>
  <c r="Z59" i="5" s="1"/>
  <c r="Y9" i="5"/>
  <c r="W9" i="5"/>
  <c r="V9" i="5"/>
  <c r="V10" i="5" s="1"/>
  <c r="V35" i="5" s="1"/>
  <c r="U9" i="5"/>
  <c r="U10" i="5" s="1"/>
  <c r="U35" i="5" s="1"/>
  <c r="S9" i="5"/>
  <c r="S10" i="5" s="1"/>
  <c r="S35" i="5" s="1"/>
  <c r="R9" i="5"/>
  <c r="R59" i="5" s="1"/>
  <c r="Q9" i="5"/>
  <c r="O9" i="5"/>
  <c r="N9" i="5"/>
  <c r="N10" i="5" s="1"/>
  <c r="N35" i="5" s="1"/>
  <c r="M9" i="5"/>
  <c r="M10" i="5" s="1"/>
  <c r="M35" i="5" s="1"/>
  <c r="K9" i="5"/>
  <c r="K10" i="5" s="1"/>
  <c r="K35" i="5" s="1"/>
  <c r="J9" i="5"/>
  <c r="J34" i="5" s="1"/>
  <c r="I9" i="5"/>
  <c r="G9" i="5"/>
  <c r="G10" i="5" s="1"/>
  <c r="G35" i="5" s="1"/>
  <c r="AF8" i="5"/>
  <c r="AF33" i="5" s="1"/>
  <c r="AB8" i="5"/>
  <c r="AB33" i="5" s="1"/>
  <c r="Y8" i="5"/>
  <c r="Y33" i="5" s="1"/>
  <c r="X8" i="5"/>
  <c r="X33" i="5" s="1"/>
  <c r="T8" i="5"/>
  <c r="T33" i="5" s="1"/>
  <c r="S8" i="5"/>
  <c r="S33" i="5" s="1"/>
  <c r="Q8" i="5"/>
  <c r="Q33" i="5" s="1"/>
  <c r="P8" i="5"/>
  <c r="P33" i="5" s="1"/>
  <c r="L8" i="5"/>
  <c r="L33" i="5" s="1"/>
  <c r="K8" i="5"/>
  <c r="K33" i="5" s="1"/>
  <c r="I8" i="5"/>
  <c r="I33" i="5" s="1"/>
  <c r="H8" i="5"/>
  <c r="H33" i="5" s="1"/>
  <c r="G8" i="5"/>
  <c r="G33" i="5" s="1"/>
  <c r="D2" i="5"/>
  <c r="E2" i="5" s="1"/>
  <c r="F2" i="5" s="1"/>
  <c r="G2" i="5" s="1"/>
  <c r="H2" i="5" s="1"/>
  <c r="I2" i="5" s="1"/>
  <c r="J2" i="5" s="1"/>
  <c r="K2" i="5" s="1"/>
  <c r="L2" i="5" s="1"/>
  <c r="M2" i="5" s="1"/>
  <c r="N2" i="5" s="1"/>
  <c r="O2" i="5" s="1"/>
  <c r="P2" i="5" s="1"/>
  <c r="Q2" i="5" s="1"/>
  <c r="R2" i="5" s="1"/>
  <c r="S2" i="5" s="1"/>
  <c r="T2" i="5" s="1"/>
  <c r="U2" i="5" s="1"/>
  <c r="V2" i="5" s="1"/>
  <c r="W2" i="5" s="1"/>
  <c r="X2" i="5" s="1"/>
  <c r="Y2" i="5" s="1"/>
  <c r="Z2" i="5" s="1"/>
  <c r="AA2" i="5" s="1"/>
  <c r="AB2" i="5" s="1"/>
  <c r="AC2" i="5" s="1"/>
  <c r="AD2" i="5" s="1"/>
  <c r="AE2" i="5" s="1"/>
  <c r="AF2" i="5" s="1"/>
  <c r="AG2" i="5" s="1"/>
  <c r="AH2" i="5" s="1"/>
  <c r="AI2" i="5" s="1"/>
  <c r="AJ2" i="5" s="1"/>
  <c r="AK2" i="5" s="1"/>
  <c r="AL2" i="5" s="1"/>
  <c r="AM2" i="5" s="1"/>
  <c r="AN2" i="5" s="1"/>
  <c r="AO2" i="5" s="1"/>
  <c r="AP2" i="5" s="1"/>
  <c r="AQ2" i="5" s="1"/>
  <c r="AR2" i="5" s="1"/>
  <c r="AS2" i="5" s="1"/>
  <c r="AT2" i="5" s="1"/>
  <c r="AU2" i="5" s="1"/>
  <c r="AV2" i="5" s="1"/>
  <c r="AW2" i="5" s="1"/>
  <c r="AX2" i="5" s="1"/>
  <c r="AY2" i="5" s="1"/>
  <c r="AZ2" i="5" s="1"/>
  <c r="R55" i="5" l="1"/>
  <c r="R38" i="5"/>
  <c r="E37" i="5"/>
  <c r="D73" i="7"/>
  <c r="J10" i="5"/>
  <c r="J35" i="5" s="1"/>
  <c r="J59" i="5"/>
  <c r="D18" i="5"/>
  <c r="D43" i="5" s="1"/>
  <c r="AF55" i="5"/>
  <c r="I102" i="5"/>
  <c r="I14" i="5" s="1"/>
  <c r="I111" i="5"/>
  <c r="I16" i="5" s="1"/>
  <c r="I41" i="5" s="1"/>
  <c r="Z10" i="5"/>
  <c r="Z35" i="5" s="1"/>
  <c r="H104" i="5"/>
  <c r="H105" i="5" s="1"/>
  <c r="H17" i="5" s="1"/>
  <c r="H42" i="5" s="1"/>
  <c r="E18" i="5"/>
  <c r="E43" i="5" s="1"/>
  <c r="Z34" i="5"/>
  <c r="E85" i="5"/>
  <c r="R10" i="5"/>
  <c r="R35" i="5" s="1"/>
  <c r="F37" i="5"/>
  <c r="E73" i="7"/>
  <c r="G114" i="5"/>
  <c r="G11" i="5" s="1"/>
  <c r="C24" i="7"/>
  <c r="I56" i="5"/>
  <c r="I39" i="5"/>
  <c r="Q56" i="5"/>
  <c r="Q39" i="5"/>
  <c r="G56" i="5"/>
  <c r="G39" i="5"/>
  <c r="O56" i="5"/>
  <c r="O39" i="5"/>
  <c r="W56" i="5"/>
  <c r="W39" i="5"/>
  <c r="AE56" i="5"/>
  <c r="AE39" i="5"/>
  <c r="O59" i="5"/>
  <c r="O34" i="5"/>
  <c r="S55" i="5"/>
  <c r="S38" i="5"/>
  <c r="AA55" i="5"/>
  <c r="AA38" i="5"/>
  <c r="E56" i="5"/>
  <c r="E39" i="5"/>
  <c r="AD56" i="5"/>
  <c r="AD39" i="5"/>
  <c r="H59" i="5"/>
  <c r="H34" i="5"/>
  <c r="P59" i="5"/>
  <c r="P34" i="5"/>
  <c r="X59" i="5"/>
  <c r="X34" i="5"/>
  <c r="AF59" i="5"/>
  <c r="AF34" i="5"/>
  <c r="L55" i="5"/>
  <c r="L38" i="5"/>
  <c r="T55" i="5"/>
  <c r="T38" i="5"/>
  <c r="AB55" i="5"/>
  <c r="AB38" i="5"/>
  <c r="R34" i="5"/>
  <c r="J38" i="5"/>
  <c r="J104" i="5"/>
  <c r="J105" i="5" s="1"/>
  <c r="J17" i="5" s="1"/>
  <c r="J42" i="5" s="1"/>
  <c r="W59" i="5"/>
  <c r="W34" i="5"/>
  <c r="K55" i="5"/>
  <c r="K38" i="5"/>
  <c r="Y59" i="5"/>
  <c r="Y34" i="5"/>
  <c r="W10" i="5"/>
  <c r="W35" i="5" s="1"/>
  <c r="M55" i="5"/>
  <c r="M38" i="5"/>
  <c r="U55" i="5"/>
  <c r="U38" i="5"/>
  <c r="AC55" i="5"/>
  <c r="AC38" i="5"/>
  <c r="H56" i="5"/>
  <c r="H39" i="5"/>
  <c r="P56" i="5"/>
  <c r="P39" i="5"/>
  <c r="X56" i="5"/>
  <c r="X39" i="5"/>
  <c r="AF56" i="5"/>
  <c r="AF39" i="5"/>
  <c r="G59" i="5"/>
  <c r="G34" i="5"/>
  <c r="AE59" i="5"/>
  <c r="AE34" i="5"/>
  <c r="V56" i="5"/>
  <c r="V39" i="5"/>
  <c r="I59" i="5"/>
  <c r="I34" i="5"/>
  <c r="O10" i="5"/>
  <c r="O35" i="5" s="1"/>
  <c r="N55" i="5"/>
  <c r="N38" i="5"/>
  <c r="V55" i="5"/>
  <c r="V38" i="5"/>
  <c r="Y56" i="5"/>
  <c r="Y39" i="5"/>
  <c r="Z38" i="5"/>
  <c r="L102" i="5"/>
  <c r="L14" i="5" s="1"/>
  <c r="T102" i="5"/>
  <c r="T14" i="5" s="1"/>
  <c r="AB102" i="5"/>
  <c r="AB14" i="5" s="1"/>
  <c r="N56" i="5"/>
  <c r="N39" i="5"/>
  <c r="Q59" i="5"/>
  <c r="Q34" i="5"/>
  <c r="AE10" i="5"/>
  <c r="AE35" i="5" s="1"/>
  <c r="AD55" i="5"/>
  <c r="AD38" i="5"/>
  <c r="K59" i="5"/>
  <c r="K34" i="5"/>
  <c r="S59" i="5"/>
  <c r="S34" i="5"/>
  <c r="AA59" i="5"/>
  <c r="AA34" i="5"/>
  <c r="I10" i="5"/>
  <c r="I35" i="5" s="1"/>
  <c r="Q10" i="5"/>
  <c r="Q35" i="5" s="1"/>
  <c r="Y10" i="5"/>
  <c r="Y35" i="5" s="1"/>
  <c r="G36" i="5"/>
  <c r="G55" i="5"/>
  <c r="G38" i="5"/>
  <c r="O55" i="5"/>
  <c r="O38" i="5"/>
  <c r="W55" i="5"/>
  <c r="W38" i="5"/>
  <c r="AE55" i="5"/>
  <c r="AE38" i="5"/>
  <c r="D39" i="5"/>
  <c r="F98" i="5"/>
  <c r="F101" i="5"/>
  <c r="I74" i="5"/>
  <c r="L59" i="5"/>
  <c r="L34" i="5"/>
  <c r="T59" i="5"/>
  <c r="T34" i="5"/>
  <c r="AB59" i="5"/>
  <c r="AB34" i="5"/>
  <c r="K39" i="5"/>
  <c r="K56" i="5"/>
  <c r="S39" i="5"/>
  <c r="S56" i="5"/>
  <c r="AA39" i="5"/>
  <c r="AA56" i="5"/>
  <c r="H55" i="5"/>
  <c r="U59" i="5"/>
  <c r="U34" i="5"/>
  <c r="I38" i="5"/>
  <c r="I55" i="5"/>
  <c r="Q38" i="5"/>
  <c r="Q55" i="5"/>
  <c r="Y38" i="5"/>
  <c r="Y55" i="5"/>
  <c r="C39" i="5"/>
  <c r="C56" i="5"/>
  <c r="P55" i="5"/>
  <c r="C74" i="5"/>
  <c r="M59" i="5"/>
  <c r="M34" i="5"/>
  <c r="AC59" i="5"/>
  <c r="AC34" i="5"/>
  <c r="N59" i="5"/>
  <c r="N34" i="5"/>
  <c r="V59" i="5"/>
  <c r="V34" i="5"/>
  <c r="AD59" i="5"/>
  <c r="AD34" i="5"/>
  <c r="L10" i="5"/>
  <c r="L35" i="5" s="1"/>
  <c r="T10" i="5"/>
  <c r="T35" i="5" s="1"/>
  <c r="AB10" i="5"/>
  <c r="AB35" i="5" s="1"/>
  <c r="E16" i="5"/>
  <c r="E41" i="5" s="1"/>
  <c r="X55" i="5"/>
  <c r="F94" i="5"/>
  <c r="F95" i="5" s="1"/>
  <c r="J111" i="5"/>
  <c r="J16" i="5" s="1"/>
  <c r="J41" i="5" s="1"/>
  <c r="K110" i="5"/>
  <c r="J102" i="5"/>
  <c r="J14" i="5" s="1"/>
  <c r="R102" i="5"/>
  <c r="R14" i="5" s="1"/>
  <c r="Z102" i="5"/>
  <c r="Z14" i="5" s="1"/>
  <c r="G104" i="5"/>
  <c r="G105" i="5" s="1"/>
  <c r="G17" i="5" s="1"/>
  <c r="G42" i="5" s="1"/>
  <c r="M102" i="5"/>
  <c r="M14" i="5" s="1"/>
  <c r="U102" i="5"/>
  <c r="U14" i="5" s="1"/>
  <c r="AC102" i="5"/>
  <c r="AC14" i="5" s="1"/>
  <c r="F73" i="7" l="1"/>
  <c r="BC1" i="3"/>
  <c r="G61" i="5"/>
  <c r="H74" i="5"/>
  <c r="G85" i="5"/>
  <c r="G113" i="5"/>
  <c r="H114" i="5"/>
  <c r="L56" i="5"/>
  <c r="L39" i="5"/>
  <c r="U56" i="5"/>
  <c r="U39" i="5"/>
  <c r="M56" i="5"/>
  <c r="M39" i="5"/>
  <c r="K104" i="5"/>
  <c r="K105" i="5" s="1"/>
  <c r="K111" i="5"/>
  <c r="K16" i="5" s="1"/>
  <c r="K41" i="5" s="1"/>
  <c r="L110" i="5"/>
  <c r="G74" i="5"/>
  <c r="R39" i="5"/>
  <c r="R56" i="5"/>
  <c r="J39" i="5"/>
  <c r="J56" i="5"/>
  <c r="AC56" i="5"/>
  <c r="AC39" i="5"/>
  <c r="AB56" i="5"/>
  <c r="AB39" i="5"/>
  <c r="H113" i="5"/>
  <c r="I114" i="5"/>
  <c r="H11" i="5"/>
  <c r="T56" i="5"/>
  <c r="T39" i="5"/>
  <c r="Z39" i="5"/>
  <c r="Z56" i="5"/>
  <c r="J74" i="5"/>
  <c r="F110" i="5"/>
  <c r="F111" i="5" s="1"/>
  <c r="F102" i="5"/>
  <c r="G73" i="7" l="1"/>
  <c r="BD1" i="3"/>
  <c r="H61" i="5"/>
  <c r="H36" i="5"/>
  <c r="H85" i="5"/>
  <c r="I113" i="5"/>
  <c r="J114" i="5"/>
  <c r="I11" i="5"/>
  <c r="L111" i="5"/>
  <c r="L16" i="5" s="1"/>
  <c r="L41" i="5" s="1"/>
  <c r="M110" i="5"/>
  <c r="L104" i="5"/>
  <c r="L105" i="5" s="1"/>
  <c r="H73" i="7" l="1"/>
  <c r="BE1" i="3"/>
  <c r="I61" i="5"/>
  <c r="I36" i="5"/>
  <c r="I85" i="5"/>
  <c r="J113" i="5"/>
  <c r="K114" i="5"/>
  <c r="J11" i="5"/>
  <c r="M111" i="5"/>
  <c r="M16" i="5" s="1"/>
  <c r="M41" i="5" s="1"/>
  <c r="N110" i="5"/>
  <c r="M104" i="5"/>
  <c r="M105" i="5" s="1"/>
  <c r="I73" i="7" l="1"/>
  <c r="BF1" i="3"/>
  <c r="N111" i="5"/>
  <c r="N16" i="5" s="1"/>
  <c r="N41" i="5" s="1"/>
  <c r="O110" i="5"/>
  <c r="N104" i="5"/>
  <c r="N105" i="5" s="1"/>
  <c r="J61" i="5"/>
  <c r="J36" i="5"/>
  <c r="J85" i="5"/>
  <c r="K113" i="5"/>
  <c r="L114" i="5"/>
  <c r="K11" i="5"/>
  <c r="J73" i="7" l="1"/>
  <c r="BG1" i="3"/>
  <c r="P110" i="5"/>
  <c r="O111" i="5"/>
  <c r="O16" i="5" s="1"/>
  <c r="O41" i="5" s="1"/>
  <c r="O104" i="5"/>
  <c r="O105" i="5" s="1"/>
  <c r="M114" i="5"/>
  <c r="L113" i="5"/>
  <c r="L11" i="5"/>
  <c r="BH1" i="3" s="1"/>
  <c r="K61" i="5"/>
  <c r="K36" i="5"/>
  <c r="K85" i="5"/>
  <c r="Q110" i="5" l="1"/>
  <c r="P104" i="5"/>
  <c r="P105" i="5" s="1"/>
  <c r="P111" i="5"/>
  <c r="P16" i="5" s="1"/>
  <c r="P41" i="5" s="1"/>
  <c r="L36" i="5"/>
  <c r="L61" i="5"/>
  <c r="L85" i="5"/>
  <c r="N114" i="5"/>
  <c r="M113" i="5"/>
  <c r="M11" i="5"/>
  <c r="O114" i="5" l="1"/>
  <c r="N113" i="5"/>
  <c r="N11" i="5"/>
  <c r="M36" i="5"/>
  <c r="M85" i="5"/>
  <c r="M61" i="5"/>
  <c r="Q111" i="5"/>
  <c r="Q16" i="5" s="1"/>
  <c r="Q41" i="5" s="1"/>
  <c r="R110" i="5"/>
  <c r="Q104" i="5"/>
  <c r="Q105" i="5" s="1"/>
  <c r="N85" i="5" l="1"/>
  <c r="N61" i="5"/>
  <c r="N36" i="5"/>
  <c r="P114" i="5"/>
  <c r="O113" i="5"/>
  <c r="O11" i="5"/>
  <c r="R111" i="5"/>
  <c r="R16" i="5" s="1"/>
  <c r="R41" i="5" s="1"/>
  <c r="S110" i="5"/>
  <c r="R104" i="5"/>
  <c r="R105" i="5" s="1"/>
  <c r="S104" i="5" l="1"/>
  <c r="S105" i="5" s="1"/>
  <c r="S111" i="5"/>
  <c r="S16" i="5" s="1"/>
  <c r="S41" i="5" s="1"/>
  <c r="T110" i="5"/>
  <c r="O61" i="5"/>
  <c r="O36" i="5"/>
  <c r="O85" i="5"/>
  <c r="P113" i="5"/>
  <c r="Q114" i="5"/>
  <c r="P11" i="5"/>
  <c r="Q113" i="5" l="1"/>
  <c r="R114" i="5"/>
  <c r="Q11" i="5"/>
  <c r="T111" i="5"/>
  <c r="T16" i="5" s="1"/>
  <c r="T41" i="5" s="1"/>
  <c r="U110" i="5"/>
  <c r="T104" i="5"/>
  <c r="T105" i="5" s="1"/>
  <c r="P61" i="5"/>
  <c r="P36" i="5"/>
  <c r="P85" i="5"/>
  <c r="U111" i="5" l="1"/>
  <c r="U16" i="5" s="1"/>
  <c r="U41" i="5" s="1"/>
  <c r="V110" i="5"/>
  <c r="U104" i="5"/>
  <c r="U105" i="5" s="1"/>
  <c r="Q61" i="5"/>
  <c r="Q36" i="5"/>
  <c r="Q85" i="5"/>
  <c r="R113" i="5"/>
  <c r="S114" i="5"/>
  <c r="R11" i="5"/>
  <c r="R61" i="5" l="1"/>
  <c r="R36" i="5"/>
  <c r="R85" i="5"/>
  <c r="V111" i="5"/>
  <c r="V16" i="5" s="1"/>
  <c r="V41" i="5" s="1"/>
  <c r="W110" i="5"/>
  <c r="V104" i="5"/>
  <c r="V105" i="5" s="1"/>
  <c r="S113" i="5"/>
  <c r="T114" i="5"/>
  <c r="S11" i="5"/>
  <c r="X110" i="5" l="1"/>
  <c r="W111" i="5"/>
  <c r="W16" i="5" s="1"/>
  <c r="W41" i="5" s="1"/>
  <c r="W104" i="5"/>
  <c r="W105" i="5" s="1"/>
  <c r="U114" i="5"/>
  <c r="T113" i="5"/>
  <c r="T11" i="5"/>
  <c r="S61" i="5"/>
  <c r="S36" i="5"/>
  <c r="S85" i="5"/>
  <c r="V114" i="5" l="1"/>
  <c r="U113" i="5"/>
  <c r="U11" i="5"/>
  <c r="T36" i="5"/>
  <c r="T61" i="5"/>
  <c r="T85" i="5"/>
  <c r="Y110" i="5"/>
  <c r="X104" i="5"/>
  <c r="X105" i="5" s="1"/>
  <c r="X111" i="5"/>
  <c r="X16" i="5" s="1"/>
  <c r="X41" i="5" s="1"/>
  <c r="Y111" i="5" l="1"/>
  <c r="Y16" i="5" s="1"/>
  <c r="Y41" i="5" s="1"/>
  <c r="Z110" i="5"/>
  <c r="Y104" i="5"/>
  <c r="Y105" i="5" s="1"/>
  <c r="U36" i="5"/>
  <c r="U85" i="5"/>
  <c r="U61" i="5"/>
  <c r="W114" i="5"/>
  <c r="V113" i="5"/>
  <c r="V11" i="5"/>
  <c r="V85" i="5" l="1"/>
  <c r="V61" i="5"/>
  <c r="V36" i="5"/>
  <c r="X114" i="5"/>
  <c r="W113" i="5"/>
  <c r="W11" i="5"/>
  <c r="Z111" i="5"/>
  <c r="Z16" i="5" s="1"/>
  <c r="Z41" i="5" s="1"/>
  <c r="AA110" i="5"/>
  <c r="Z104" i="5"/>
  <c r="Z105" i="5" s="1"/>
  <c r="AA104" i="5" l="1"/>
  <c r="AA105" i="5" s="1"/>
  <c r="AA111" i="5"/>
  <c r="AA16" i="5" s="1"/>
  <c r="AA41" i="5" s="1"/>
  <c r="AB110" i="5"/>
  <c r="W61" i="5"/>
  <c r="W36" i="5"/>
  <c r="W85" i="5"/>
  <c r="X113" i="5"/>
  <c r="Y114" i="5"/>
  <c r="X11" i="5"/>
  <c r="AB111" i="5" l="1"/>
  <c r="AB16" i="5" s="1"/>
  <c r="AB41" i="5" s="1"/>
  <c r="AC110" i="5"/>
  <c r="AB104" i="5"/>
  <c r="AB105" i="5" s="1"/>
  <c r="Y113" i="5"/>
  <c r="Z114" i="5"/>
  <c r="Y11" i="5"/>
  <c r="X61" i="5"/>
  <c r="X36" i="5"/>
  <c r="X85" i="5"/>
  <c r="AC111" i="5" l="1"/>
  <c r="AC16" i="5" s="1"/>
  <c r="AC41" i="5" s="1"/>
  <c r="AD110" i="5"/>
  <c r="AC104" i="5"/>
  <c r="AC105" i="5" s="1"/>
  <c r="Y61" i="5"/>
  <c r="Y36" i="5"/>
  <c r="Y85" i="5"/>
  <c r="Z113" i="5"/>
  <c r="AA114" i="5"/>
  <c r="Z11" i="5"/>
  <c r="AD111" i="5" l="1"/>
  <c r="AD16" i="5" s="1"/>
  <c r="AD41" i="5" s="1"/>
  <c r="AE110" i="5"/>
  <c r="AD104" i="5"/>
  <c r="AD105" i="5" s="1"/>
  <c r="Z61" i="5"/>
  <c r="Z36" i="5"/>
  <c r="Z85" i="5"/>
  <c r="AA113" i="5"/>
  <c r="AB114" i="5"/>
  <c r="AA11" i="5"/>
  <c r="AC114" i="5" l="1"/>
  <c r="AB113" i="5"/>
  <c r="AB11" i="5"/>
  <c r="AF110" i="5"/>
  <c r="AE111" i="5"/>
  <c r="AE16" i="5" s="1"/>
  <c r="AE41" i="5" s="1"/>
  <c r="AE104" i="5"/>
  <c r="AE105" i="5" s="1"/>
  <c r="AA61" i="5"/>
  <c r="AA36" i="5"/>
  <c r="AA85" i="5"/>
  <c r="AD114" i="5" l="1"/>
  <c r="AC113" i="5"/>
  <c r="AC11" i="5"/>
  <c r="AF104" i="5"/>
  <c r="AF105" i="5" s="1"/>
  <c r="AF111" i="5"/>
  <c r="AF16" i="5" s="1"/>
  <c r="AF41" i="5" s="1"/>
  <c r="AB36" i="5"/>
  <c r="AB61" i="5"/>
  <c r="AB85" i="5"/>
  <c r="AC36" i="5" l="1"/>
  <c r="AC85" i="5"/>
  <c r="AC61" i="5"/>
  <c r="AE114" i="5"/>
  <c r="AD113" i="5"/>
  <c r="AD11" i="5"/>
  <c r="AD85" i="5" l="1"/>
  <c r="AD61" i="5"/>
  <c r="AD36" i="5"/>
  <c r="AF114" i="5"/>
  <c r="AE113" i="5"/>
  <c r="AE11" i="5"/>
  <c r="AE61" i="5" l="1"/>
  <c r="AE36" i="5"/>
  <c r="AE85" i="5"/>
  <c r="AF113" i="5"/>
  <c r="AF11" i="5"/>
  <c r="AF61" i="5" l="1"/>
  <c r="AF36" i="5"/>
  <c r="AF85" i="5"/>
  <c r="BB1" i="3" l="1"/>
  <c r="AU3" i="3"/>
  <c r="AV3" i="3" s="1"/>
  <c r="AW3" i="3" s="1"/>
  <c r="AX3" i="3" s="1"/>
  <c r="C13" i="7" l="1"/>
  <c r="F13" i="7"/>
  <c r="G13" i="7"/>
  <c r="H13" i="7"/>
  <c r="I13" i="7"/>
  <c r="J13" i="7"/>
  <c r="F14" i="7"/>
  <c r="G14" i="7"/>
  <c r="H14" i="7"/>
  <c r="I14" i="7"/>
  <c r="J14" i="7"/>
  <c r="F15" i="7"/>
  <c r="G15" i="7"/>
  <c r="H15" i="7"/>
  <c r="I15" i="7"/>
  <c r="J15" i="7"/>
  <c r="F16" i="7"/>
  <c r="G16" i="7"/>
  <c r="H16" i="7"/>
  <c r="I16" i="7"/>
  <c r="J16" i="7"/>
  <c r="F17" i="7"/>
  <c r="H17" i="7"/>
  <c r="I17" i="7"/>
  <c r="J17" i="7"/>
  <c r="D13" i="7"/>
  <c r="F6" i="7"/>
  <c r="G6" i="7"/>
  <c r="H6" i="7"/>
  <c r="I6" i="7"/>
  <c r="J6" i="7"/>
  <c r="F7" i="7"/>
  <c r="G7" i="7"/>
  <c r="H7" i="7"/>
  <c r="I7" i="7"/>
  <c r="J7" i="7"/>
  <c r="F8" i="7"/>
  <c r="G8" i="7"/>
  <c r="H8" i="7"/>
  <c r="I8" i="7"/>
  <c r="J8" i="7"/>
  <c r="F9" i="7"/>
  <c r="G9" i="7"/>
  <c r="H9" i="7"/>
  <c r="I9" i="7"/>
  <c r="J9" i="7"/>
  <c r="F10" i="7"/>
  <c r="G10" i="7"/>
  <c r="H10" i="7"/>
  <c r="I10" i="7"/>
  <c r="J10" i="7"/>
  <c r="AC33" i="3"/>
  <c r="AC34" i="3" s="1"/>
  <c r="F3" i="7"/>
  <c r="G3" i="7"/>
  <c r="H3" i="7"/>
  <c r="I3" i="7"/>
  <c r="J3" i="7"/>
  <c r="D27" i="3"/>
  <c r="D26" i="3"/>
  <c r="D21" i="3"/>
  <c r="D20" i="3"/>
  <c r="D18" i="3"/>
  <c r="D12" i="3"/>
  <c r="D13" i="3"/>
  <c r="D14" i="3"/>
  <c r="D15" i="3"/>
  <c r="D4" i="3"/>
  <c r="D28" i="3"/>
  <c r="D22" i="3"/>
  <c r="D23" i="3"/>
  <c r="D11" i="3"/>
  <c r="D7" i="3"/>
  <c r="D10" i="3"/>
  <c r="D29" i="3"/>
  <c r="D31" i="3"/>
  <c r="D30" i="3"/>
  <c r="D6" i="3"/>
  <c r="D5" i="3"/>
  <c r="D8" i="3"/>
  <c r="D17" i="3"/>
  <c r="D9" i="3"/>
  <c r="D24" i="3"/>
  <c r="D16" i="3"/>
  <c r="D19" i="3"/>
  <c r="D25" i="3"/>
  <c r="G2" i="7"/>
  <c r="H2" i="7" s="1"/>
  <c r="I2" i="7" s="1"/>
  <c r="J2" i="7" s="1"/>
  <c r="F5" i="7" l="1"/>
  <c r="H12" i="7"/>
  <c r="H5" i="7"/>
  <c r="J12" i="7"/>
  <c r="I12" i="7"/>
  <c r="F12" i="7"/>
  <c r="G5" i="7"/>
  <c r="J5" i="7"/>
  <c r="I5" i="7"/>
  <c r="S13" i="3"/>
  <c r="T13" i="3" s="1"/>
  <c r="Z23" i="3"/>
  <c r="AR23" i="3" s="1"/>
  <c r="BJ23" i="3" s="1"/>
  <c r="V19" i="3"/>
  <c r="H18" i="7" l="1"/>
  <c r="F18" i="7"/>
  <c r="F19" i="7" s="1"/>
  <c r="F20" i="7" s="1"/>
  <c r="J18" i="7"/>
  <c r="J19" i="7" s="1"/>
  <c r="J20" i="7" s="1"/>
  <c r="I18" i="7"/>
  <c r="I19" i="7" s="1"/>
  <c r="I20" i="7" s="1"/>
  <c r="H19" i="7" l="1"/>
  <c r="H20" i="7" s="1"/>
  <c r="AG31" i="3"/>
  <c r="G17" i="7" s="1"/>
  <c r="G12" i="7" s="1"/>
  <c r="G18" i="7" s="1"/>
  <c r="G19" i="7" s="1"/>
  <c r="G20" i="7" s="1"/>
  <c r="AG29" i="3"/>
  <c r="Z4" i="3"/>
  <c r="D6" i="7" s="1"/>
  <c r="Z8" i="3"/>
  <c r="AR8" i="3" s="1"/>
  <c r="BJ8" i="3" s="1"/>
  <c r="Z5" i="3"/>
  <c r="Z6" i="3"/>
  <c r="Z7" i="3"/>
  <c r="AR7" i="3" s="1"/>
  <c r="Z9" i="3"/>
  <c r="AR9" i="3" s="1"/>
  <c r="Z11" i="3"/>
  <c r="AR11" i="3" s="1"/>
  <c r="Z12" i="3"/>
  <c r="Z10" i="3"/>
  <c r="D8" i="7" s="1"/>
  <c r="Z28" i="3"/>
  <c r="AR28" i="3" s="1"/>
  <c r="BJ28" i="3" s="1"/>
  <c r="Z26" i="3"/>
  <c r="Z27" i="3"/>
  <c r="AR27" i="3" s="1"/>
  <c r="BJ27" i="3" s="1"/>
  <c r="Z30" i="3"/>
  <c r="AR30" i="3" s="1"/>
  <c r="Z29" i="3"/>
  <c r="AR29" i="3" s="1"/>
  <c r="Z31" i="3"/>
  <c r="Z20" i="3"/>
  <c r="AR20" i="3" s="1"/>
  <c r="BJ20" i="3" s="1"/>
  <c r="Z24" i="3"/>
  <c r="AR24" i="3" s="1"/>
  <c r="BJ24" i="3" s="1"/>
  <c r="Z14" i="3"/>
  <c r="Z18" i="3"/>
  <c r="AR18" i="3" s="1"/>
  <c r="BJ18" i="3" s="1"/>
  <c r="AR22" i="3"/>
  <c r="BJ22" i="3" s="1"/>
  <c r="Z21" i="3"/>
  <c r="AR21" i="3" s="1"/>
  <c r="BJ21" i="3" s="1"/>
  <c r="Z15" i="3"/>
  <c r="AR15" i="3" s="1"/>
  <c r="BJ15" i="3" s="1"/>
  <c r="Z25" i="3"/>
  <c r="AR25" i="3" s="1"/>
  <c r="Z19" i="3"/>
  <c r="Z16" i="3"/>
  <c r="AR16" i="3" s="1"/>
  <c r="Z17" i="3"/>
  <c r="AR17" i="3" s="1"/>
  <c r="D10" i="7" l="1"/>
  <c r="D7" i="7"/>
  <c r="AR14" i="3"/>
  <c r="D9" i="7"/>
  <c r="AR13" i="3"/>
  <c r="BJ13" i="3" s="1"/>
  <c r="AR31" i="3"/>
  <c r="AR6" i="3"/>
  <c r="AR26" i="3"/>
  <c r="BJ26" i="3" s="1"/>
  <c r="AR5" i="3"/>
  <c r="BJ5" i="3" s="1"/>
  <c r="AR19" i="3"/>
  <c r="AR10" i="3"/>
  <c r="BJ10" i="3" s="1"/>
  <c r="AR4" i="3"/>
  <c r="BJ4" i="3" s="1"/>
  <c r="AR12" i="3"/>
  <c r="D16" i="7"/>
  <c r="D15" i="7"/>
  <c r="D17" i="7"/>
  <c r="D14" i="7"/>
  <c r="AK13" i="3"/>
  <c r="V33" i="3"/>
  <c r="V34" i="3" s="1"/>
  <c r="X33" i="3"/>
  <c r="AA33" i="3"/>
  <c r="AB33" i="3"/>
  <c r="AD33" i="3"/>
  <c r="AD34" i="3" s="1"/>
  <c r="AE33" i="3"/>
  <c r="AG33" i="3"/>
  <c r="AH33" i="3"/>
  <c r="AI33" i="3"/>
  <c r="AJ33" i="3"/>
  <c r="BB10" i="3" l="1"/>
  <c r="AS10" i="3" s="1"/>
  <c r="BB9" i="3"/>
  <c r="AS9" i="3" s="1"/>
  <c r="D24" i="7"/>
  <c r="BB21" i="3"/>
  <c r="AS21" i="3" s="1"/>
  <c r="D31" i="7"/>
  <c r="D5" i="7"/>
  <c r="D12" i="7"/>
  <c r="X34" i="3"/>
  <c r="AB34" i="3"/>
  <c r="AA34" i="3"/>
  <c r="S17" i="3"/>
  <c r="T17" i="3" s="1"/>
  <c r="S16" i="3"/>
  <c r="T16" i="3" s="1"/>
  <c r="S19" i="3"/>
  <c r="T19" i="3" s="1"/>
  <c r="S25" i="3"/>
  <c r="T25" i="3" s="1"/>
  <c r="S15" i="3"/>
  <c r="T15" i="3" s="1"/>
  <c r="S21" i="3"/>
  <c r="T21" i="3" s="1"/>
  <c r="S22" i="3"/>
  <c r="T22" i="3" s="1"/>
  <c r="S23" i="3"/>
  <c r="T23" i="3" s="1"/>
  <c r="S18" i="3"/>
  <c r="T18" i="3" s="1"/>
  <c r="S14" i="3"/>
  <c r="T14" i="3" s="1"/>
  <c r="S24" i="3"/>
  <c r="T24" i="3" s="1"/>
  <c r="S20" i="3"/>
  <c r="T20" i="3" s="1"/>
  <c r="S31" i="3"/>
  <c r="T31" i="3" s="1"/>
  <c r="S29" i="3"/>
  <c r="T29" i="3" s="1"/>
  <c r="S30" i="3"/>
  <c r="T30" i="3" s="1"/>
  <c r="S27" i="3"/>
  <c r="T27" i="3" s="1"/>
  <c r="S26" i="3"/>
  <c r="T26" i="3" s="1"/>
  <c r="Z33" i="3"/>
  <c r="S28" i="3"/>
  <c r="T28" i="3" s="1"/>
  <c r="S10" i="3"/>
  <c r="T10" i="3" s="1"/>
  <c r="S12" i="3"/>
  <c r="T12" i="3" s="1"/>
  <c r="S11" i="3"/>
  <c r="T11" i="3" s="1"/>
  <c r="S9" i="3"/>
  <c r="T9" i="3" s="1"/>
  <c r="S7" i="3"/>
  <c r="T7" i="3" s="1"/>
  <c r="S5" i="3"/>
  <c r="T5" i="3" s="1"/>
  <c r="S8" i="3"/>
  <c r="T8" i="3" s="1"/>
  <c r="S4" i="3"/>
  <c r="T4" i="3" s="1"/>
  <c r="AK28" i="3" l="1"/>
  <c r="AK8" i="3"/>
  <c r="BK21" i="3"/>
  <c r="BK9" i="3"/>
  <c r="E27" i="7"/>
  <c r="BK10" i="3"/>
  <c r="BB11" i="3"/>
  <c r="AS11" i="3" s="1"/>
  <c r="BK11" i="3" s="1"/>
  <c r="BB7" i="3"/>
  <c r="AS7" i="3" s="1"/>
  <c r="BK7" i="3" s="1"/>
  <c r="BB12" i="3"/>
  <c r="AS12" i="3" s="1"/>
  <c r="BB22" i="3"/>
  <c r="AS22" i="3" s="1"/>
  <c r="BB6" i="3"/>
  <c r="AS6" i="3" s="1"/>
  <c r="BB15" i="3"/>
  <c r="AS15" i="3" s="1"/>
  <c r="BB8" i="3"/>
  <c r="AS8" i="3" s="1"/>
  <c r="BB14" i="3"/>
  <c r="AS14" i="3" s="1"/>
  <c r="BB29" i="3"/>
  <c r="AS29" i="3" s="1"/>
  <c r="BK29" i="3" s="1"/>
  <c r="BB26" i="3"/>
  <c r="AS26" i="3" s="1"/>
  <c r="BB17" i="3"/>
  <c r="AS17" i="3" s="1"/>
  <c r="BB16" i="3"/>
  <c r="AS16" i="3" s="1"/>
  <c r="BB28" i="3"/>
  <c r="AS28" i="3" s="1"/>
  <c r="BB30" i="3"/>
  <c r="AS30" i="3" s="1"/>
  <c r="BK30" i="3" s="1"/>
  <c r="BB20" i="3"/>
  <c r="AS20" i="3" s="1"/>
  <c r="BB27" i="3"/>
  <c r="AS27" i="3" s="1"/>
  <c r="BB25" i="3"/>
  <c r="AS25" i="3" s="1"/>
  <c r="BK25" i="3" s="1"/>
  <c r="BB23" i="3"/>
  <c r="AS23" i="3" s="1"/>
  <c r="BB24" i="3"/>
  <c r="AS24" i="3" s="1"/>
  <c r="BB13" i="3"/>
  <c r="AS13" i="3" s="1"/>
  <c r="BB31" i="3"/>
  <c r="AS31" i="3" s="1"/>
  <c r="BB19" i="3"/>
  <c r="AS19" i="3" s="1"/>
  <c r="BB18" i="3"/>
  <c r="AS18" i="3" s="1"/>
  <c r="BB4" i="3"/>
  <c r="AS4" i="3" s="1"/>
  <c r="BB5" i="3"/>
  <c r="AS5" i="3" s="1"/>
  <c r="D37" i="7"/>
  <c r="C15" i="7"/>
  <c r="D18" i="7"/>
  <c r="AK24" i="3"/>
  <c r="C16" i="7"/>
  <c r="AK18" i="3"/>
  <c r="AK23" i="3"/>
  <c r="AK22" i="3"/>
  <c r="AK27" i="3"/>
  <c r="AK15" i="3"/>
  <c r="C10" i="7"/>
  <c r="AK21" i="3"/>
  <c r="AK20" i="3"/>
  <c r="C17" i="7"/>
  <c r="AK10" i="3"/>
  <c r="C8" i="7"/>
  <c r="AK14" i="3"/>
  <c r="C9" i="7"/>
  <c r="AK4" i="3"/>
  <c r="C6" i="7"/>
  <c r="AK5" i="3"/>
  <c r="C7" i="7"/>
  <c r="Z34" i="3"/>
  <c r="U26" i="3"/>
  <c r="AK26" i="3"/>
  <c r="U10" i="3"/>
  <c r="AK31" i="3"/>
  <c r="U31" i="3"/>
  <c r="U22" i="3"/>
  <c r="U4" i="3"/>
  <c r="U20" i="3"/>
  <c r="U13" i="3"/>
  <c r="AK9" i="3"/>
  <c r="U9" i="3"/>
  <c r="U15" i="3"/>
  <c r="AK25" i="3"/>
  <c r="U25" i="3"/>
  <c r="U14" i="3"/>
  <c r="AK12" i="3"/>
  <c r="U12" i="3"/>
  <c r="AK30" i="3"/>
  <c r="U30" i="3"/>
  <c r="U18" i="3"/>
  <c r="AK16" i="3"/>
  <c r="U16" i="3"/>
  <c r="AK7" i="3"/>
  <c r="U7" i="3"/>
  <c r="U28" i="3"/>
  <c r="U21" i="3"/>
  <c r="U8" i="3"/>
  <c r="U5" i="3"/>
  <c r="U27" i="3"/>
  <c r="U24" i="3"/>
  <c r="AK11" i="3"/>
  <c r="U11" i="3"/>
  <c r="AK29" i="3"/>
  <c r="U29" i="3"/>
  <c r="U23" i="3"/>
  <c r="AK17" i="3"/>
  <c r="U17" i="3"/>
  <c r="AK19" i="3"/>
  <c r="U19" i="3"/>
  <c r="BK27" i="3" l="1"/>
  <c r="BK14" i="3"/>
  <c r="BK4" i="3"/>
  <c r="BK19" i="3"/>
  <c r="BK20" i="3"/>
  <c r="BK31" i="3"/>
  <c r="BK28" i="3"/>
  <c r="BK8" i="3"/>
  <c r="BK22" i="3"/>
  <c r="BK18" i="3"/>
  <c r="BK24" i="3"/>
  <c r="BK12" i="3"/>
  <c r="BK13" i="3"/>
  <c r="BK23" i="3"/>
  <c r="BK26" i="3"/>
  <c r="BK6" i="3"/>
  <c r="BK16" i="3"/>
  <c r="BK15" i="3"/>
  <c r="BK5" i="3"/>
  <c r="E25" i="7"/>
  <c r="E28" i="7"/>
  <c r="E26" i="7"/>
  <c r="E35" i="7"/>
  <c r="E36" i="7"/>
  <c r="E33" i="7"/>
  <c r="E29" i="7"/>
  <c r="E34" i="7"/>
  <c r="C5" i="7"/>
  <c r="AF33" i="3"/>
  <c r="E24" i="7" l="1"/>
  <c r="E31" i="7"/>
  <c r="BC28" i="3"/>
  <c r="AT28" i="3" s="1"/>
  <c r="BL28" i="3" s="1"/>
  <c r="BC30" i="3"/>
  <c r="AT30" i="3" s="1"/>
  <c r="BL30" i="3" s="1"/>
  <c r="BC21" i="3"/>
  <c r="AT21" i="3" s="1"/>
  <c r="BL21" i="3" s="1"/>
  <c r="BC7" i="3"/>
  <c r="AT7" i="3" s="1"/>
  <c r="BL7" i="3" s="1"/>
  <c r="BC16" i="3"/>
  <c r="AT16" i="3" s="1"/>
  <c r="BL16" i="3" s="1"/>
  <c r="BC23" i="3"/>
  <c r="AT23" i="3" s="1"/>
  <c r="BL23" i="3" s="1"/>
  <c r="BC9" i="3"/>
  <c r="AT9" i="3" s="1"/>
  <c r="BL9" i="3" s="1"/>
  <c r="BC14" i="3"/>
  <c r="AT14" i="3" s="1"/>
  <c r="BL14" i="3" s="1"/>
  <c r="BC8" i="3"/>
  <c r="AT8" i="3" s="1"/>
  <c r="BC20" i="3"/>
  <c r="AT20" i="3" s="1"/>
  <c r="BL20" i="3" s="1"/>
  <c r="BC29" i="3"/>
  <c r="AT29" i="3" s="1"/>
  <c r="BL29" i="3" s="1"/>
  <c r="BC10" i="3"/>
  <c r="AT10" i="3" s="1"/>
  <c r="BC24" i="3"/>
  <c r="AT24" i="3" s="1"/>
  <c r="BC12" i="3"/>
  <c r="AT12" i="3" s="1"/>
  <c r="BL12" i="3" s="1"/>
  <c r="BC19" i="3"/>
  <c r="AT19" i="3" s="1"/>
  <c r="BL19" i="3" s="1"/>
  <c r="BC22" i="3"/>
  <c r="AT22" i="3" s="1"/>
  <c r="BL22" i="3" s="1"/>
  <c r="BC5" i="3"/>
  <c r="AT5" i="3" s="1"/>
  <c r="BL5" i="3" s="1"/>
  <c r="BC27" i="3"/>
  <c r="AT27" i="3" s="1"/>
  <c r="BL27" i="3" s="1"/>
  <c r="BC11" i="3"/>
  <c r="AT11" i="3" s="1"/>
  <c r="BL11" i="3" s="1"/>
  <c r="BC13" i="3"/>
  <c r="AT13" i="3" s="1"/>
  <c r="BL13" i="3" s="1"/>
  <c r="BC26" i="3"/>
  <c r="AT26" i="3" s="1"/>
  <c r="BL26" i="3" s="1"/>
  <c r="BC18" i="3"/>
  <c r="AT18" i="3" s="1"/>
  <c r="BL18" i="3" s="1"/>
  <c r="BC31" i="3"/>
  <c r="AT31" i="3" s="1"/>
  <c r="BL31" i="3" s="1"/>
  <c r="BC4" i="3"/>
  <c r="AT4" i="3" s="1"/>
  <c r="F25" i="7" s="1"/>
  <c r="BC15" i="3"/>
  <c r="AT15" i="3" s="1"/>
  <c r="BL15" i="3" s="1"/>
  <c r="BC17" i="3"/>
  <c r="AT17" i="3" s="1"/>
  <c r="BL17" i="3" s="1"/>
  <c r="BC6" i="3"/>
  <c r="BC25" i="3"/>
  <c r="AT25" i="3" s="1"/>
  <c r="BL25" i="3" s="1"/>
  <c r="W33" i="3"/>
  <c r="E37" i="7" l="1"/>
  <c r="F34" i="7"/>
  <c r="F36" i="7"/>
  <c r="F27" i="7"/>
  <c r="BL10" i="3"/>
  <c r="F28" i="7"/>
  <c r="F35" i="7"/>
  <c r="F29" i="7"/>
  <c r="AT6" i="3"/>
  <c r="F33" i="7" s="1"/>
  <c r="F26" i="7"/>
  <c r="W34" i="3"/>
  <c r="S6" i="3"/>
  <c r="T6" i="3" s="1"/>
  <c r="Y33" i="3"/>
  <c r="Y34" i="3" s="1"/>
  <c r="F31" i="7" l="1"/>
  <c r="BL6" i="3"/>
  <c r="BD20" i="3" s="1"/>
  <c r="AU20" i="3" s="1"/>
  <c r="BM20" i="3" s="1"/>
  <c r="F24" i="7"/>
  <c r="C31" i="7"/>
  <c r="C37" i="7" s="1"/>
  <c r="U6" i="3"/>
  <c r="C14" i="7"/>
  <c r="C12" i="7" s="1"/>
  <c r="C18" i="7" s="1"/>
  <c r="S33" i="3"/>
  <c r="AK33" i="3" s="1"/>
  <c r="AK6" i="3"/>
  <c r="BD15" i="3" l="1"/>
  <c r="AU15" i="3" s="1"/>
  <c r="F37" i="7"/>
  <c r="BD11" i="3"/>
  <c r="AU11" i="3" s="1"/>
  <c r="BD14" i="3"/>
  <c r="AU14" i="3" s="1"/>
  <c r="BM14" i="3" s="1"/>
  <c r="BD12" i="3"/>
  <c r="AU12" i="3" s="1"/>
  <c r="BD22" i="3"/>
  <c r="AU22" i="3" s="1"/>
  <c r="BM22" i="3" s="1"/>
  <c r="BD25" i="3"/>
  <c r="AU25" i="3" s="1"/>
  <c r="BM25" i="3" s="1"/>
  <c r="BD30" i="3"/>
  <c r="AU30" i="3" s="1"/>
  <c r="BD10" i="3"/>
  <c r="AU10" i="3" s="1"/>
  <c r="BD8" i="3"/>
  <c r="AU8" i="3" s="1"/>
  <c r="BD5" i="3"/>
  <c r="AU5" i="3" s="1"/>
  <c r="BD7" i="3"/>
  <c r="AU7" i="3" s="1"/>
  <c r="BD17" i="3"/>
  <c r="AU17" i="3" s="1"/>
  <c r="BM17" i="3" s="1"/>
  <c r="BD31" i="3"/>
  <c r="AU31" i="3" s="1"/>
  <c r="BD18" i="3"/>
  <c r="AU18" i="3" s="1"/>
  <c r="BM18" i="3" s="1"/>
  <c r="BD16" i="3"/>
  <c r="AU16" i="3" s="1"/>
  <c r="BD24" i="3"/>
  <c r="AU24" i="3" s="1"/>
  <c r="BD23" i="3"/>
  <c r="AU23" i="3" s="1"/>
  <c r="BM23" i="3" s="1"/>
  <c r="BD6" i="3"/>
  <c r="AU6" i="3" s="1"/>
  <c r="BD19" i="3"/>
  <c r="AU19" i="3" s="1"/>
  <c r="BM19" i="3" s="1"/>
  <c r="BD26" i="3"/>
  <c r="AU26" i="3" s="1"/>
  <c r="BD13" i="3"/>
  <c r="AU13" i="3" s="1"/>
  <c r="BD4" i="3"/>
  <c r="AU4" i="3" s="1"/>
  <c r="G25" i="7" s="1"/>
  <c r="BD9" i="3"/>
  <c r="AU9" i="3" s="1"/>
  <c r="BM9" i="3" s="1"/>
  <c r="BD28" i="3"/>
  <c r="AU28" i="3" s="1"/>
  <c r="BD27" i="3"/>
  <c r="AU27" i="3" s="1"/>
  <c r="BM27" i="3" s="1"/>
  <c r="BD21" i="3"/>
  <c r="AU21" i="3" s="1"/>
  <c r="BM21" i="3" s="1"/>
  <c r="BD29" i="3"/>
  <c r="AU29" i="3" s="1"/>
  <c r="BM29" i="3" s="1"/>
  <c r="AL33" i="3"/>
  <c r="AM33" i="3"/>
  <c r="U33" i="3"/>
  <c r="G26" i="7" l="1"/>
  <c r="BM6" i="3"/>
  <c r="G33" i="7"/>
  <c r="G27" i="7"/>
  <c r="BM10" i="3"/>
  <c r="BM16" i="3"/>
  <c r="G35" i="7"/>
  <c r="BM13" i="3"/>
  <c r="G28" i="7"/>
  <c r="BM31" i="3"/>
  <c r="G36" i="7"/>
  <c r="G29" i="7"/>
  <c r="BM12" i="3"/>
  <c r="G34" i="7"/>
  <c r="AO33" i="3"/>
  <c r="AN33" i="3"/>
  <c r="BE8" i="3" l="1"/>
  <c r="AV8" i="3" s="1"/>
  <c r="G24" i="7"/>
  <c r="G31" i="7"/>
  <c r="BE19" i="3"/>
  <c r="AV19" i="3" s="1"/>
  <c r="BN19" i="3" s="1"/>
  <c r="BE29" i="3"/>
  <c r="AV29" i="3" s="1"/>
  <c r="BE13" i="3"/>
  <c r="AV13" i="3" s="1"/>
  <c r="BE17" i="3"/>
  <c r="AV17" i="3" s="1"/>
  <c r="BE28" i="3"/>
  <c r="AV28" i="3" s="1"/>
  <c r="BE20" i="3"/>
  <c r="AV20" i="3" s="1"/>
  <c r="BN20" i="3" s="1"/>
  <c r="BE7" i="3"/>
  <c r="AV7" i="3" s="1"/>
  <c r="BE25" i="3"/>
  <c r="AV25" i="3" s="1"/>
  <c r="BN25" i="3" s="1"/>
  <c r="BE24" i="3"/>
  <c r="AV24" i="3" s="1"/>
  <c r="BE31" i="3"/>
  <c r="AV31" i="3" s="1"/>
  <c r="BE15" i="3"/>
  <c r="AV15" i="3" s="1"/>
  <c r="BE12" i="3"/>
  <c r="AV12" i="3" s="1"/>
  <c r="BE14" i="3"/>
  <c r="AV14" i="3" s="1"/>
  <c r="BN14" i="3" s="1"/>
  <c r="BE10" i="3"/>
  <c r="AV10" i="3" s="1"/>
  <c r="BE22" i="3"/>
  <c r="AV22" i="3" s="1"/>
  <c r="BE26" i="3"/>
  <c r="AV26" i="3" s="1"/>
  <c r="BE18" i="3"/>
  <c r="AV18" i="3" s="1"/>
  <c r="BN18" i="3" s="1"/>
  <c r="BE21" i="3"/>
  <c r="AV21" i="3" s="1"/>
  <c r="BE16" i="3"/>
  <c r="AV16" i="3" s="1"/>
  <c r="BE30" i="3"/>
  <c r="AV30" i="3" s="1"/>
  <c r="BE4" i="3"/>
  <c r="AV4" i="3" s="1"/>
  <c r="H25" i="7" s="1"/>
  <c r="BE23" i="3"/>
  <c r="AV23" i="3" s="1"/>
  <c r="BN23" i="3" s="1"/>
  <c r="BE11" i="3"/>
  <c r="AV11" i="3" s="1"/>
  <c r="BE27" i="3"/>
  <c r="AV27" i="3" s="1"/>
  <c r="BN27" i="3" s="1"/>
  <c r="BE5" i="3"/>
  <c r="AV5" i="3" s="1"/>
  <c r="BE6" i="3"/>
  <c r="AV6" i="3" s="1"/>
  <c r="BE9" i="3"/>
  <c r="AV9" i="3" s="1"/>
  <c r="BN9" i="3" s="1"/>
  <c r="H36" i="7" l="1"/>
  <c r="H33" i="7"/>
  <c r="H26" i="7"/>
  <c r="H27" i="7"/>
  <c r="BN10" i="3"/>
  <c r="BN12" i="3"/>
  <c r="H34" i="7"/>
  <c r="BN16" i="3"/>
  <c r="H35" i="7"/>
  <c r="BN13" i="3"/>
  <c r="H28" i="7"/>
  <c r="H29" i="7"/>
  <c r="G37" i="7"/>
  <c r="BF26" i="3" l="1"/>
  <c r="AW26" i="3" s="1"/>
  <c r="BF28" i="3"/>
  <c r="AW28" i="3" s="1"/>
  <c r="BF4" i="3"/>
  <c r="AW4" i="3" s="1"/>
  <c r="I25" i="7" s="1"/>
  <c r="BF14" i="3"/>
  <c r="AW14" i="3" s="1"/>
  <c r="BO14" i="3" s="1"/>
  <c r="BF20" i="3"/>
  <c r="AW20" i="3" s="1"/>
  <c r="BO20" i="3" s="1"/>
  <c r="BF15" i="3"/>
  <c r="AW15" i="3" s="1"/>
  <c r="H31" i="7"/>
  <c r="BF16" i="3"/>
  <c r="AW16" i="3" s="1"/>
  <c r="BF25" i="3"/>
  <c r="AW25" i="3" s="1"/>
  <c r="BO25" i="3" s="1"/>
  <c r="BF21" i="3"/>
  <c r="AW21" i="3" s="1"/>
  <c r="BF5" i="3"/>
  <c r="AW5" i="3" s="1"/>
  <c r="BF31" i="3"/>
  <c r="AW31" i="3" s="1"/>
  <c r="BF23" i="3"/>
  <c r="AW23" i="3" s="1"/>
  <c r="BO23" i="3" s="1"/>
  <c r="BF6" i="3"/>
  <c r="AW6" i="3" s="1"/>
  <c r="BF8" i="3"/>
  <c r="AW8" i="3" s="1"/>
  <c r="BF27" i="3"/>
  <c r="AW27" i="3" s="1"/>
  <c r="BO27" i="3" s="1"/>
  <c r="BF29" i="3"/>
  <c r="AW29" i="3" s="1"/>
  <c r="BF11" i="3"/>
  <c r="AW11" i="3" s="1"/>
  <c r="BF10" i="3"/>
  <c r="AW10" i="3" s="1"/>
  <c r="I27" i="7" s="1"/>
  <c r="BF18" i="3"/>
  <c r="AW18" i="3" s="1"/>
  <c r="BO18" i="3" s="1"/>
  <c r="BF9" i="3"/>
  <c r="AW9" i="3" s="1"/>
  <c r="BO9" i="3" s="1"/>
  <c r="BF22" i="3"/>
  <c r="AW22" i="3" s="1"/>
  <c r="BF12" i="3"/>
  <c r="AW12" i="3" s="1"/>
  <c r="BF19" i="3"/>
  <c r="AW19" i="3" s="1"/>
  <c r="BO19" i="3" s="1"/>
  <c r="BF24" i="3"/>
  <c r="AW24" i="3" s="1"/>
  <c r="BF17" i="3"/>
  <c r="AW17" i="3" s="1"/>
  <c r="BF30" i="3"/>
  <c r="AW30" i="3" s="1"/>
  <c r="BF7" i="3"/>
  <c r="AW7" i="3" s="1"/>
  <c r="H24" i="7"/>
  <c r="BF13" i="3"/>
  <c r="AW13" i="3" s="1"/>
  <c r="I34" i="7" l="1"/>
  <c r="I36" i="7"/>
  <c r="H37" i="7"/>
  <c r="I26" i="7"/>
  <c r="I29" i="7"/>
  <c r="BO16" i="3"/>
  <c r="I35" i="7"/>
  <c r="BO13" i="3"/>
  <c r="I28" i="7"/>
  <c r="I33" i="7"/>
  <c r="I24" i="7" l="1"/>
  <c r="BG28" i="3"/>
  <c r="AX28" i="3" s="1"/>
  <c r="BH28" i="3" s="1"/>
  <c r="AY28" i="3" s="1"/>
  <c r="AZ28" i="3" s="1"/>
  <c r="BG5" i="3"/>
  <c r="AX5" i="3" s="1"/>
  <c r="BG21" i="3"/>
  <c r="AX21" i="3" s="1"/>
  <c r="BH21" i="3" s="1"/>
  <c r="AY21" i="3" s="1"/>
  <c r="AZ21" i="3" s="1"/>
  <c r="BG11" i="3"/>
  <c r="AX11" i="3" s="1"/>
  <c r="BH11" i="3" s="1"/>
  <c r="AY11" i="3" s="1"/>
  <c r="AZ11" i="3" s="1"/>
  <c r="BG6" i="3"/>
  <c r="AX6" i="3" s="1"/>
  <c r="BG13" i="3"/>
  <c r="AX13" i="3" s="1"/>
  <c r="BG25" i="3"/>
  <c r="AX25" i="3" s="1"/>
  <c r="BH25" i="3" s="1"/>
  <c r="AY25" i="3" s="1"/>
  <c r="AZ25" i="3" s="1"/>
  <c r="BG30" i="3"/>
  <c r="AX30" i="3" s="1"/>
  <c r="BH30" i="3" s="1"/>
  <c r="AY30" i="3" s="1"/>
  <c r="AZ30" i="3" s="1"/>
  <c r="BG31" i="3"/>
  <c r="AX31" i="3" s="1"/>
  <c r="BG18" i="3"/>
  <c r="AX18" i="3" s="1"/>
  <c r="BH18" i="3" s="1"/>
  <c r="AY18" i="3" s="1"/>
  <c r="AZ18" i="3" s="1"/>
  <c r="BG15" i="3"/>
  <c r="AX15" i="3" s="1"/>
  <c r="BH15" i="3" s="1"/>
  <c r="AY15" i="3" s="1"/>
  <c r="AZ15" i="3" s="1"/>
  <c r="BG17" i="3"/>
  <c r="AX17" i="3" s="1"/>
  <c r="BH17" i="3" s="1"/>
  <c r="AY17" i="3" s="1"/>
  <c r="AZ17" i="3" s="1"/>
  <c r="BG24" i="3"/>
  <c r="AX24" i="3" s="1"/>
  <c r="BH24" i="3" s="1"/>
  <c r="AY24" i="3" s="1"/>
  <c r="AZ24" i="3" s="1"/>
  <c r="BG14" i="3"/>
  <c r="AX14" i="3" s="1"/>
  <c r="BH14" i="3" s="1"/>
  <c r="AY14" i="3" s="1"/>
  <c r="AZ14" i="3" s="1"/>
  <c r="BG20" i="3"/>
  <c r="AX20" i="3" s="1"/>
  <c r="BH20" i="3" s="1"/>
  <c r="AY20" i="3" s="1"/>
  <c r="AZ20" i="3" s="1"/>
  <c r="BG23" i="3"/>
  <c r="AX23" i="3" s="1"/>
  <c r="BH23" i="3" s="1"/>
  <c r="AY23" i="3" s="1"/>
  <c r="AZ23" i="3" s="1"/>
  <c r="BG7" i="3"/>
  <c r="AX7" i="3" s="1"/>
  <c r="BH7" i="3" s="1"/>
  <c r="AY7" i="3" s="1"/>
  <c r="AZ7" i="3" s="1"/>
  <c r="BG9" i="3"/>
  <c r="AX9" i="3" s="1"/>
  <c r="BH9" i="3" s="1"/>
  <c r="AY9" i="3" s="1"/>
  <c r="AZ9" i="3" s="1"/>
  <c r="BG12" i="3"/>
  <c r="AX12" i="3" s="1"/>
  <c r="BG26" i="3"/>
  <c r="AX26" i="3" s="1"/>
  <c r="BG10" i="3"/>
  <c r="AX10" i="3" s="1"/>
  <c r="BG19" i="3"/>
  <c r="AX19" i="3" s="1"/>
  <c r="BH19" i="3" s="1"/>
  <c r="AY19" i="3" s="1"/>
  <c r="AZ19" i="3" s="1"/>
  <c r="I31" i="7"/>
  <c r="BG22" i="3"/>
  <c r="AX22" i="3" s="1"/>
  <c r="BH22" i="3" s="1"/>
  <c r="AY22" i="3" s="1"/>
  <c r="AZ22" i="3" s="1"/>
  <c r="BG27" i="3"/>
  <c r="AX27" i="3" s="1"/>
  <c r="BH27" i="3" s="1"/>
  <c r="AY27" i="3" s="1"/>
  <c r="AZ27" i="3" s="1"/>
  <c r="BG29" i="3"/>
  <c r="AX29" i="3" s="1"/>
  <c r="BH29" i="3" s="1"/>
  <c r="AY29" i="3" s="1"/>
  <c r="AZ29" i="3" s="1"/>
  <c r="BG8" i="3"/>
  <c r="AX8" i="3" s="1"/>
  <c r="BH8" i="3" s="1"/>
  <c r="AY8" i="3" s="1"/>
  <c r="AZ8" i="3" s="1"/>
  <c r="BG16" i="3"/>
  <c r="AX16" i="3" s="1"/>
  <c r="BG4" i="3"/>
  <c r="AX4" i="3" s="1"/>
  <c r="I37" i="7" l="1"/>
  <c r="BH13" i="3"/>
  <c r="AY13" i="3" s="1"/>
  <c r="J28" i="7"/>
  <c r="BH10" i="3"/>
  <c r="AY10" i="3" s="1"/>
  <c r="J27" i="7"/>
  <c r="BH6" i="3"/>
  <c r="AY6" i="3" s="1"/>
  <c r="J33" i="7"/>
  <c r="J25" i="7"/>
  <c r="BH4" i="3"/>
  <c r="AY4" i="3" s="1"/>
  <c r="BH26" i="3"/>
  <c r="AY26" i="3" s="1"/>
  <c r="J29" i="7"/>
  <c r="BH12" i="3"/>
  <c r="AY12" i="3" s="1"/>
  <c r="J34" i="7"/>
  <c r="BH5" i="3"/>
  <c r="AY5" i="3" s="1"/>
  <c r="J26" i="7"/>
  <c r="BH16" i="3"/>
  <c r="AY16" i="3" s="1"/>
  <c r="J35" i="7"/>
  <c r="BH31" i="3"/>
  <c r="AY31" i="3" s="1"/>
  <c r="J36" i="7"/>
  <c r="J24" i="7" l="1"/>
  <c r="AZ4" i="3"/>
  <c r="K25" i="7"/>
  <c r="J31" i="7"/>
  <c r="AZ5" i="3"/>
  <c r="K26" i="7"/>
  <c r="AZ6" i="3"/>
  <c r="K33" i="7"/>
  <c r="AZ12" i="3"/>
  <c r="K34" i="7"/>
  <c r="AZ10" i="3"/>
  <c r="K27" i="7"/>
  <c r="AZ16" i="3"/>
  <c r="K35" i="7"/>
  <c r="AZ31" i="3"/>
  <c r="K36" i="7"/>
  <c r="K29" i="7"/>
  <c r="AZ26" i="3"/>
  <c r="AZ13" i="3"/>
  <c r="K28" i="7"/>
  <c r="K31" i="7" l="1"/>
  <c r="J37" i="7"/>
  <c r="K24" i="7"/>
  <c r="K3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Rial, Isabel</author>
  </authors>
  <commentList>
    <comment ref="F2" authorId="0" shapeId="0" xr:uid="{CA2595A2-AAF0-40D0-94B4-BB733FBD3C3D}">
      <text>
        <r>
          <rPr>
            <b/>
            <sz val="9"/>
            <color indexed="81"/>
            <rFont val="Tahoma"/>
            <family val="2"/>
          </rPr>
          <t>Rial, Isabel:</t>
        </r>
        <r>
          <rPr>
            <sz val="9"/>
            <color indexed="81"/>
            <rFont val="Tahoma"/>
            <family val="2"/>
          </rPr>
          <t xml:space="preserve">
We assumed that we are in last quarter 2016
</t>
        </r>
      </text>
    </comment>
    <comment ref="F58" authorId="0" shapeId="0" xr:uid="{1E837E00-BBEE-4F1A-84F2-CFA6FF67F138}">
      <text>
        <r>
          <rPr>
            <b/>
            <sz val="9"/>
            <color indexed="81"/>
            <rFont val="Tahoma"/>
            <family val="2"/>
          </rPr>
          <t>Rial, Isabel:</t>
        </r>
        <r>
          <rPr>
            <sz val="9"/>
            <color indexed="81"/>
            <rFont val="Tahoma"/>
            <family val="2"/>
          </rPr>
          <t xml:space="preserve">
This should be the total value of the investment of ongoing projects in the portfolio</t>
        </r>
      </text>
    </comment>
    <comment ref="G58" authorId="0" shapeId="0" xr:uid="{98DE7C47-C747-478E-86AB-3CF925F3F98E}">
      <text>
        <r>
          <rPr>
            <b/>
            <sz val="9"/>
            <color indexed="81"/>
            <rFont val="Tahoma"/>
            <family val="2"/>
          </rPr>
          <t>Rial, Isabel:</t>
        </r>
        <r>
          <rPr>
            <sz val="9"/>
            <color indexed="81"/>
            <rFont val="Tahoma"/>
            <family val="2"/>
          </rPr>
          <t xml:space="preserve">
and here it would be what we plan to invest in next budget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Rial, Isabel</author>
  </authors>
  <commentList>
    <comment ref="G10" authorId="0" shapeId="0" xr:uid="{0B8BAAD4-56F2-4548-A4F1-AFDB5FDA123F}">
      <text>
        <r>
          <rPr>
            <b/>
            <sz val="9"/>
            <color indexed="81"/>
            <rFont val="Tahoma"/>
            <family val="2"/>
          </rPr>
          <t>Rial, Isabel:</t>
        </r>
        <r>
          <rPr>
            <sz val="9"/>
            <color indexed="81"/>
            <rFont val="Tahoma"/>
            <family val="2"/>
          </rPr>
          <t xml:space="preserve">
Ministry of Health?
</t>
        </r>
      </text>
    </comment>
  </commentList>
</comments>
</file>

<file path=xl/sharedStrings.xml><?xml version="1.0" encoding="utf-8"?>
<sst xmlns="http://schemas.openxmlformats.org/spreadsheetml/2006/main" count="559" uniqueCount="275">
  <si>
    <t>N</t>
  </si>
  <si>
    <t>Implementing Agency</t>
  </si>
  <si>
    <t>National Plan Objective</t>
  </si>
  <si>
    <t>GOP/ PPP</t>
  </si>
  <si>
    <t>Feasibility Study</t>
  </si>
  <si>
    <t>Appraisal indicator</t>
  </si>
  <si>
    <t>Value</t>
  </si>
  <si>
    <t>Project 
Status</t>
  </si>
  <si>
    <t>Implementation Percentage</t>
  </si>
  <si>
    <t>Project Outcomes</t>
  </si>
  <si>
    <t>Project Outputs</t>
  </si>
  <si>
    <t>Project Activities</t>
  </si>
  <si>
    <t>Grant</t>
  </si>
  <si>
    <t>Agriculture</t>
  </si>
  <si>
    <t>GOP</t>
  </si>
  <si>
    <t>No</t>
  </si>
  <si>
    <t>Yes</t>
  </si>
  <si>
    <t>NPV</t>
  </si>
  <si>
    <t>New</t>
  </si>
  <si>
    <t>PVC/PVBenef</t>
  </si>
  <si>
    <t>Education</t>
  </si>
  <si>
    <t xml:space="preserve"> Expand and improve school infrastructure for all levels, including water supply infrastructure, sanitation and hand-washing facilities, school physical education and community facilities </t>
  </si>
  <si>
    <t>Rehabilitate, expand and equip existing facilities at primary, secondary and post-secondary levels.</t>
  </si>
  <si>
    <t>Education Infrastructure Rehabilitation</t>
  </si>
  <si>
    <t xml:space="preserve"> Rehabilitate classrooms, science laboratories, administration blocks, houses, libraries and multi-purpose halls.
Provide furniture for classrooms, laboratories and staff rooms
Provide instructional materials for all subjects</t>
  </si>
  <si>
    <t>Carry out rehabilitation of the following buildings: classrooms, science laboratories, administration blocks, tutors
houses, libraries and multi-purpose halls.
Provide furniture for classrooms, laboratories and staff rooms
Provide instructional materials for all subjects</t>
  </si>
  <si>
    <t>High Performance Sport Training Centre.</t>
  </si>
  <si>
    <t>to provide a condusive environment for sports training and  performance</t>
  </si>
  <si>
    <t xml:space="preserve">1) sports hostles constructed, 2) athletics track constructed, 3) artifical turf fields, 4) jogging track, 5)fencing and site roads constructed </t>
  </si>
  <si>
    <t xml:space="preserve">1) needs assesment, 2) designs, 3) staff recruitment, 4)coordination activities i.e site meetings, 5)monitoring and supervision. 6) environmnet impact assesment , 7) benchmarking activities , 8) construction of the facility , 9) Land acquisition and surveys , preliminaery infastructure constructed </t>
  </si>
  <si>
    <t>Social University Infrastructure Development</t>
  </si>
  <si>
    <t>Fully functional University with all the basic infrastructure and social amenities in place</t>
  </si>
  <si>
    <t>Construction of laboratories, workshops, library, administration block, dining block, lecture blocks, internal roads, drainage, security lighting</t>
  </si>
  <si>
    <t xml:space="preserve">Construction of administrative, learning and support infrastructure Procure machinery, equipment, transport, Teaching and Learning Materials. Provide security to persons and property
</t>
  </si>
  <si>
    <t>Health</t>
  </si>
  <si>
    <t>  Develop and upgrade health infrastructure.</t>
  </si>
  <si>
    <t>Rehabilitation of Neuro-surgery Referral Hospital</t>
  </si>
  <si>
    <t>Ministry of Health</t>
  </si>
  <si>
    <t>Construction and rehabilitation of residential and non residential buildings.</t>
  </si>
  <si>
    <t xml:space="preserve"> Drug and sundries stores, Staff hostel, Surgical ward, Medical and eye wards rehabilitated. Road and walk ways rehabilitated
</t>
  </si>
  <si>
    <t xml:space="preserve">Construction  of the main road to the hospital and walkways for easy access to wards and other treatment centres    Construction of staff houses   Rehabilitation of the drug and sundries stores, surgical ward, medical and eye wards 
</t>
  </si>
  <si>
    <t>Rehabilitation of Pedriatic Referral Hospital of Pimnia</t>
  </si>
  <si>
    <t xml:space="preserve"> Develop Health infrastructure, equipment and maintenance</t>
  </si>
  <si>
    <t>Improvement of of healthservices and patient safety, Strenghthening mechanism for quality effective and efficient service delivery and motivative workforce.</t>
  </si>
  <si>
    <t>There will be a construction of land titles, procuring of land titles, medical department to be renovated,labour suite and theatre renovated bathroom and tironet for paediatric ward constructed and drainage system overhauled.</t>
  </si>
  <si>
    <t xml:space="preserve">Construction of the maternity ward ,procuring of the hospital land titles and renovation of labour and theatre suites. </t>
  </si>
  <si>
    <t>Water and Sanitation</t>
  </si>
  <si>
    <t>Ministry of Water and Sanitation</t>
  </si>
  <si>
    <t xml:space="preserve">Construct, operate and maintain piped water supply systems in small towns and urban areas country wide </t>
  </si>
  <si>
    <t>Water for Production Center-North region</t>
  </si>
  <si>
    <t>Increased coverage and improved functionality of water for production facilities leading to improved quality of life of communities through increased house hold income.</t>
  </si>
  <si>
    <t>a. Irrigation schemes, valley tanks and earth dams constructed or rehabilitated in the water stressed areas in Centre-North Pimnia. b. Water user committees or associations formed/revitalized on all the water for production facilities in Centre-North Pimnia. c. Districts staff have received capacity building and training programmes.</t>
  </si>
  <si>
    <t xml:space="preserve">Identification and detailed design of various water for production facilities. Construction of irrigation schemes, valley tanks and earth dams in the water stressed areas.
Formation, revitalization and training of water user committees or associations.
</t>
  </si>
  <si>
    <t>Water for Production Center-East region</t>
  </si>
  <si>
    <t>a. Irrigation schemes, valley tanks and earth dams constructed or rehabilitated in the water stressed areas in Centre-East Pimnia. b. Water user committees or associations formed/revitalized on all the water for production facilities in Centre-East Pimnia. c. Districts staff have received capacity building and training programmes.</t>
  </si>
  <si>
    <t>Water for Production Center-West region</t>
  </si>
  <si>
    <t>a. Irrigation schemes, valley tanks and earth dams constructed or rehabilitated in the water stressed areas in Centre-West Pimnia. b. Water user committees or associations formed/revitalized on all the water for production facilities in Centre-West Pimnia. c. Districts staff have received capacity building and training programmes.</t>
  </si>
  <si>
    <t xml:space="preserve">Identification and detailed design of various water for production facilities. Construction of irrigation schemes, valley tanks and earth dams in the water stressed areas.
Formation, revitalization and training of water user committees or associations
</t>
  </si>
  <si>
    <t>Public works and transport</t>
  </si>
  <si>
    <t>Climate-proof existing and future transport infrastructure to ensure climate resilient transport systems</t>
  </si>
  <si>
    <t>Upgrading of road from Newport to Paradise Valey</t>
  </si>
  <si>
    <t>Ministry of Public Works</t>
  </si>
  <si>
    <t>The economic feasibility study, preliminary engineering and detailed engineering designs were undertaken and finalized.</t>
  </si>
  <si>
    <t>Design review and supervision consultant procured, Civil works contractor procured, Project affected persons compesated/resettled, Right of Way (ROW) acquired, The environment and social safeguards implementation plan prepared/implemented, 73km existing earthen /gravel roadway upgraded to paved asphaltic road.</t>
  </si>
  <si>
    <t>i) Identify sources of project funding
ii) On acquisition of project funding, procure, engage and supervise construction and supervision services.</t>
  </si>
  <si>
    <t>Expansion of North-South Metropolitan Area corridor.</t>
  </si>
  <si>
    <t xml:space="preserve">Develop and maintain the roads to tourism, mining and agriculture producing areas </t>
  </si>
  <si>
    <t>Improved mobility along the congested northen - southern corridors of Greater Metropolitan Area by diverting traffic from the existing road, Reduced travel time and cost, increased commercial viability of Greater Metropolitan Area, stimulated trade industry and agro-business and enhanced efficient passenger and freight operations.</t>
  </si>
  <si>
    <t>Design review and supervision consultant procured, Civil works contractor procured, Project affected persons compensated/resettled, Right of way (ROW) acquired, The environment and social safeguards implementation plan prepared/implemented, 32km dual carriageway (2-4 lanes each direction, lane widths 3.7m) with 6 interchages (grade separeted junctions).</t>
  </si>
  <si>
    <t>Procuring, engaging and supervising firms providing construction, construction supervision, land acquisition and compensation of affected properties along the project road.</t>
  </si>
  <si>
    <t>Construction of road from Paradise Valley to Great Falls National Park</t>
  </si>
  <si>
    <t>An adequate and suitable road link between Paradise Valley and Great Falls National Park provided to increase tourism</t>
  </si>
  <si>
    <t>Civil works and Supervision contractors procured by October 2020
Mobilisation will commence in Nov 2020 with 20% Advance Payment
10% of Civil works physical progress will be attained by end of June 2021
342 Hectares of land acquired</t>
  </si>
  <si>
    <t>Feasibility study and Preliminary Engineering Design. Preparation and approval of the bidding documents for consultancy services for supervision of the design and build contract. Preparation and approval of the bidding documents for the design and build contract. Invitation of bids for design and build contract. Invitation of bids for supervision of the design and build works. Evaluation of bids and tender award. Contract signing</t>
  </si>
  <si>
    <t>Construction of Rushing River Bridge</t>
  </si>
  <si>
    <t xml:space="preserve">Construct new and rehabilitate old bridges </t>
  </si>
  <si>
    <t>To provide an adequate  and suitable bridge link between approach road to facilitate iron production.</t>
  </si>
  <si>
    <t>Selection of contractor and awarding of contract.
Selection of supervision consultant.</t>
  </si>
  <si>
    <t xml:space="preserve">Feasibility and preliminary engineering design. Selection of contractor and contract signing.
</t>
  </si>
  <si>
    <t>Cotton Production Improvement</t>
  </si>
  <si>
    <t>Improve access to high quality seeds and planting materials</t>
  </si>
  <si>
    <t>Above 90%</t>
  </si>
  <si>
    <t>Increased efficiency in processing cotton planting seed</t>
  </si>
  <si>
    <t>a) Acquisition of land
b) Construction of seed processing structures
c) Procurement and installation of specialized machinery for processing cotton planting seed</t>
  </si>
  <si>
    <t xml:space="preserve">Procure land. Construct Perimeter Fence, Guard House, Ablution Block, Front Office, Ginning Hall, Delinting Hall, Seed Bagging area, Raw Cotton stores, cyclone dust chambers, Un-processed cottonseed store, Processed cottonseed store, Bale shed, Multi-purpose hall, Offices, Dinning hall, kitchen, canteen, Main store, Workshop, Pit latrines with showers, Power House, Pump House, borehole, overhead water tank, External works (i.e. drive ways, landscaping, drainage), Electrical and mechanical installations.
Procure and install ginning equipment, seed dryer, seed delinter, gravity and size seed graders, seed treater and bagging machine, weighbridge.
Relocate and install some of the existing seed processing machinery to the site. </t>
  </si>
  <si>
    <t>Projecta University Infrastructure Development</t>
  </si>
  <si>
    <t>61%-70%</t>
  </si>
  <si>
    <t>To create a conducive teaching and learning environment for nurturing students at the University.
To enhance knowledge transformation and utilisation of research and innovations</t>
  </si>
  <si>
    <t>Construction of lecture blocks, sports and recreation centre's developed and renovation of hostels</t>
  </si>
  <si>
    <t>Preparation of bid documents and specifications for procurement of contractors and supplies, advertisement and evaluation of bids and award of Contract/tender for works and supplies</t>
  </si>
  <si>
    <t>Construction of Pimnia National University Expansion</t>
  </si>
  <si>
    <t>41%-50%</t>
  </si>
  <si>
    <t>Improved facilities</t>
  </si>
  <si>
    <t>35 hectars of land to be acquired by swapping with National Forest Authority, 3,000 Hectares of forest property of the University. 
Construct 1 ICT block, 1 Library Block, 2 lecture blocks and 2 Administration building and a 2000 capacity
Library building.</t>
  </si>
  <si>
    <t>Completion of Land purchase and title documentation for lands and constructions in plan, 
Complete Master Plan
Development, 
Complete Building Plans, Drawings and BOQ for New Library, 
Multifunctional Material Testing Laboratory
Directorate of ICT Building.</t>
  </si>
  <si>
    <t>Pimnia Heart Institute Project</t>
  </si>
  <si>
    <t>Increased accessibility to heart services, a population well sensitised about heart diseases, a self reliance centre of excellence</t>
  </si>
  <si>
    <t>Rehabilitation of buildings, relevant equipment procured (medical, furniture, transport and mechinery). Construction od additional square meters in wards and medical buildings</t>
  </si>
  <si>
    <t>To improve the infrastructure and services of the institute to provide convinient and affordable heart treatment to the local population and the region. Undertake necessary capital expenditures in order to transform the institute into centre of excellence</t>
  </si>
  <si>
    <t>Support to small town Water Supply Systems</t>
  </si>
  <si>
    <t>81%-90%</t>
  </si>
  <si>
    <t xml:space="preserve">Improved living conditions of people in small towns </t>
  </si>
  <si>
    <t xml:space="preserve">59 water supply systems countrywide rehabilitated and maintained.
Opertion and maintenance manuals developed
</t>
  </si>
  <si>
    <t>Rehabilitation, expansion and extension of water supply systems and replacement of dysfunctional major electro-mechanical equipment which include pumps, motor control panels, chemical dossers, transformers, generators and water meters in at least 59 water supply systems countrywide.</t>
  </si>
  <si>
    <t>Great Lake Sanitation Program</t>
  </si>
  <si>
    <t>National Water and Sewerage Corporation</t>
  </si>
  <si>
    <t>Increase sewerage connections in towns with sewerage systems and develop new infrastructure.</t>
  </si>
  <si>
    <t>71%-80%</t>
  </si>
  <si>
    <t>Increased sewerage connections in towns with sewerage systems and developed new in infrastructure ,including satellite sewerage systems in the Greater Metropolitan Area</t>
  </si>
  <si>
    <t xml:space="preserve">i. New combined Faecal Sludge and Waste Water Treatment Plant of capacity 5000m3/day constructed at Old Port.
ii. New Waste Water Treatment Plant of capacity 45,000m3/day constructed at Fishermens Point.
iii. New Waste Water Treatment Plant of capacity 9,000m3/day constructed at Bad Shore.
iv. Construction of mains sewers of a total length 30 km of varying sizes, ranging from DN 350mm to DN 1500mm linking catchment areas.
</t>
  </si>
  <si>
    <t xml:space="preserve">i. Old Port Faecal Sludge and Waste Water Treatment Plant was completed commissioned and is operational.
ii. The construction of the Fishermens Point Waste Water Treatment Plant is at 88% completion.
iii. Construction of the Bad Shore Waste Water Pre-treatment Plant is at 40% completion.
iv. The construction of the main sewers is at 86% completion.
</t>
  </si>
  <si>
    <t>Metropolitan Area Water Project</t>
  </si>
  <si>
    <t>10%-15%</t>
  </si>
  <si>
    <t>Improve the socio-economic and health situation of the people living in the Metropolitan Area and hence further stimulate urban growth through provision of safe and reliable water supply.</t>
  </si>
  <si>
    <t xml:space="preserve">i. Rehabilitated and upgraded  two main Water Treatment Plants to capacity of 240 million liters. New transmission main pipes and new 8000m3 storage reservoir.
ii. Hydraulic Model developed and updated GIS developed and operational.
iii. Rehabilitated and restructured city center water supply network with sufficient carrying capacity to ensure reliable service delivery.
iv. Development of new East Water Treatment Plant with its transmission, primary, secondary and tertiary pipe network and reservoirs to serve Eastern and Northern areas. 
</t>
  </si>
  <si>
    <t xml:space="preserve">i. Rehabilitation and water production capacity optimization of Water Treatment Complex (plants 1 and 2) and transmission main pipes improvement is 95% complete. Construction of new the water reservoir tanks is 98% complete.
Water Supply Extension is 50% completed and 1.100 new customers were connected.
</t>
  </si>
  <si>
    <t>New Standard Gauge Railway Line</t>
  </si>
  <si>
    <t>National Railway Company</t>
  </si>
  <si>
    <t>Lower transport cost, Regional trade enhanced and improved travel time</t>
  </si>
  <si>
    <t>Detailed engineering designs for eastern route completed. Turnkey contracts for the western route signed and financing agreement signed.</t>
  </si>
  <si>
    <t>Dermacation of ROW, Carry out detailed engineering designs for the eastern routes and negotiate the Turnkey contracts.</t>
  </si>
  <si>
    <t>Upgrading of road from Metropolitan Area to Francistown</t>
  </si>
  <si>
    <t>45%-50%</t>
  </si>
  <si>
    <t>Reduction in the cost and travel times for the movement of passengers and goods 
Reliable link between the centres of economic activity in the region.</t>
  </si>
  <si>
    <t>Construction of 3 Bridges and 12 box culverts.</t>
  </si>
  <si>
    <t>Completing the construction of 2 bridges and 6 culverts.</t>
  </si>
  <si>
    <t>Construction of Georgetown to  Newport road</t>
  </si>
  <si>
    <t>5%-10%</t>
  </si>
  <si>
    <t>Reconnaissance, Sensitisation, survey and valuation data capture initiated
Procurement of civil works contractor initiated</t>
  </si>
  <si>
    <t>16.8 Hectares of land acquired</t>
  </si>
  <si>
    <t>Land and property compensation completed. Contractor procured</t>
  </si>
  <si>
    <t>Design and construction of the New Grand River Bridge</t>
  </si>
  <si>
    <t>Second  Grand River Bridge constructed. Traffic jams reduced.</t>
  </si>
  <si>
    <t>22% of Civil works physical progress will be attained by end of June 2019
1 Hectares of land acquired</t>
  </si>
  <si>
    <t>Procurement of land. 
Construction and supervision of bridge works.</t>
  </si>
  <si>
    <t>Upgrading of road from Georgetown to New Grand River bridge</t>
  </si>
  <si>
    <t>Georgetown to New Grand River bridge (74km) upgraded to Class 1 paved standard.</t>
  </si>
  <si>
    <t>74km of Class 2 road upgraded to Class 1 paved standard.</t>
  </si>
  <si>
    <t>Construction and Supervision of road works</t>
  </si>
  <si>
    <t>Upgrading of Francistown to New Grand River Bridge</t>
  </si>
  <si>
    <t>Francistown to New Grand River bridge (135km) upgraded to Class 1 paved standard.</t>
  </si>
  <si>
    <t>135 km of Class 2 road upgraded to Class 1 paved standard.</t>
  </si>
  <si>
    <t>Construction and Supervision of works</t>
  </si>
  <si>
    <t>Reconstruction of Francistown to border with Pimania road</t>
  </si>
  <si>
    <t>31%-40%</t>
  </si>
  <si>
    <t>Improved transportation to tourism, mining and agriculture producing areas.</t>
  </si>
  <si>
    <t>155km of class 2 paved road reconstructed and upgraded to class 1 bitumen</t>
  </si>
  <si>
    <t>Acquring land for right of way and reconstructing 155km of road.</t>
  </si>
  <si>
    <t>Construction of Express Highway to National Airport</t>
  </si>
  <si>
    <t xml:space="preserve">Reduced travel time between the Metropolitan Area and National Airport through construction of an Expressway. </t>
  </si>
  <si>
    <t>16.8% of Civil works physical progress will be attained by end of end of 2020, 42 hectars of land acquired.</t>
  </si>
  <si>
    <t>Construction of Expressway  with 2x2x3.65m lanes  and 2.1 median strip and 2.5m wide shoulder on both sides.</t>
  </si>
  <si>
    <t>Construction of Metropolitan Area Southern Bypass Phase 2</t>
  </si>
  <si>
    <t>To release congestion and reduce travel time and vehicle operating costs for local and through traffic, and to protect city roads from damage by heavy commercial trucks and address specifc capacity constraints.</t>
  </si>
  <si>
    <t>Traffic congestion reduced by diverting traffic away from the city centre</t>
  </si>
  <si>
    <t>Hectares of land acquired,civil works carried out.</t>
  </si>
  <si>
    <t>Project Financing Structure</t>
  </si>
  <si>
    <t>Outer Years</t>
  </si>
  <si>
    <t>Project Execution Prior to 2016</t>
  </si>
  <si>
    <t>Total</t>
  </si>
  <si>
    <t>Total Project Cost</t>
  </si>
  <si>
    <t>Market Loan</t>
  </si>
  <si>
    <t>Planned</t>
  </si>
  <si>
    <t>Executed</t>
  </si>
  <si>
    <t>Operation and Maintenance</t>
  </si>
  <si>
    <t>Project Strategic Alignment</t>
  </si>
  <si>
    <t>Sector</t>
  </si>
  <si>
    <t>Project Title</t>
  </si>
  <si>
    <t>Ministry of Agriculture</t>
  </si>
  <si>
    <t>Ministry of Education</t>
  </si>
  <si>
    <t xml:space="preserve">COUNTRY PARAMETERS </t>
  </si>
  <si>
    <t>Year</t>
  </si>
  <si>
    <t>Account       DOM</t>
  </si>
  <si>
    <t>Nominal GDP in national currency (billion)</t>
  </si>
  <si>
    <t>Real GDP in national currency (billion)</t>
  </si>
  <si>
    <t>GDP deflator (units)</t>
  </si>
  <si>
    <t>NER DOM/Relevant FX</t>
  </si>
  <si>
    <t>Primary Net Lending/Borrowing  - Primary Balance (billion)</t>
  </si>
  <si>
    <t>Net Lending/Borrowing - Overall Balance (billion)</t>
  </si>
  <si>
    <t>Cash balance (billion)</t>
  </si>
  <si>
    <t>Government gross debt projections, DSA (billion)</t>
  </si>
  <si>
    <t>Of which debt on PPPs, including PPPs in pipeline (billions)</t>
  </si>
  <si>
    <t>Government Revenue (billion)</t>
  </si>
  <si>
    <t>Governemnt Total Expenditures (billion)</t>
  </si>
  <si>
    <t>Government Interest (billion)</t>
  </si>
  <si>
    <t>Government current expenditures, excluding interest (billions)</t>
  </si>
  <si>
    <r>
      <t xml:space="preserve">Government capital expenditures (billions) </t>
    </r>
    <r>
      <rPr>
        <b/>
        <sz val="11"/>
        <color theme="4"/>
        <rFont val="Segoe UI"/>
        <family val="2"/>
      </rPr>
      <t>Nominal ceiling MTFF</t>
    </r>
  </si>
  <si>
    <t>Of which capital expendtures on PPPs (billions)</t>
  </si>
  <si>
    <t>Government PPPs capital expenditures in pipeline (billions)</t>
  </si>
  <si>
    <t>Rates of growth</t>
  </si>
  <si>
    <t>Nominal GDP in national currency</t>
  </si>
  <si>
    <t>Real GDP in national currency</t>
  </si>
  <si>
    <t>GDP deflator</t>
  </si>
  <si>
    <t xml:space="preserve">NER </t>
  </si>
  <si>
    <t>% GDP</t>
  </si>
  <si>
    <t>Issues for the exercise</t>
  </si>
  <si>
    <t>Country national fiscal rules</t>
  </si>
  <si>
    <t>Deficit &lt; 3.0 % GDP</t>
  </si>
  <si>
    <t>Starting point above the limit of the rule</t>
  </si>
  <si>
    <t>Gross Debt &lt; 50% GDP</t>
  </si>
  <si>
    <t>Starting point close to the limit</t>
  </si>
  <si>
    <t>Next budget</t>
  </si>
  <si>
    <t>MTBF</t>
  </si>
  <si>
    <t>long-term</t>
  </si>
  <si>
    <t>Revenues (% GDP)</t>
  </si>
  <si>
    <t>Expenditures (% GDP)</t>
  </si>
  <si>
    <t>Of which: current expenditures (residual)</t>
  </si>
  <si>
    <t>Of which: capital expenditures (assumption % GDP at the initial point)</t>
  </si>
  <si>
    <t>Deficit (% GDP)</t>
  </si>
  <si>
    <t>Gross Debt (% GDP)</t>
  </si>
  <si>
    <t>PPP portfolio</t>
  </si>
  <si>
    <t>Capital spending</t>
  </si>
  <si>
    <t>PFRAM portfolio (NANFA)</t>
  </si>
  <si>
    <t>P1</t>
  </si>
  <si>
    <t>P2</t>
  </si>
  <si>
    <t>P3</t>
  </si>
  <si>
    <t>P4</t>
  </si>
  <si>
    <t>P5</t>
  </si>
  <si>
    <t>P6</t>
  </si>
  <si>
    <t>P7</t>
  </si>
  <si>
    <t>P8</t>
  </si>
  <si>
    <t>% of capital sp.</t>
  </si>
  <si>
    <t xml:space="preserve">Debt </t>
  </si>
  <si>
    <t xml:space="preserve">PFRAM portfolio </t>
  </si>
  <si>
    <t>% of gross debt</t>
  </si>
  <si>
    <t>Some general calculations</t>
  </si>
  <si>
    <t>interest</t>
  </si>
  <si>
    <t>fixed</t>
  </si>
  <si>
    <t>deficit</t>
  </si>
  <si>
    <t>primary deficit</t>
  </si>
  <si>
    <t>revenues</t>
  </si>
  <si>
    <t>total expenditures</t>
  </si>
  <si>
    <t>captital expenditures</t>
  </si>
  <si>
    <t>residual</t>
  </si>
  <si>
    <t>Nominal ceiling</t>
  </si>
  <si>
    <t xml:space="preserve">Current (excluding interest) </t>
  </si>
  <si>
    <t>fixed, increasing (population)</t>
  </si>
  <si>
    <t>GoP Revenue</t>
  </si>
  <si>
    <t>MTEF Ceiling</t>
  </si>
  <si>
    <t>Previous Years</t>
  </si>
  <si>
    <t>Include in 2017 Budget</t>
  </si>
  <si>
    <t>Ongoing</t>
  </si>
  <si>
    <t>Balance</t>
  </si>
  <si>
    <t>Dev. 
Partner</t>
  </si>
  <si>
    <t>Public Works and Transport</t>
  </si>
  <si>
    <t>NA</t>
  </si>
  <si>
    <t>Outer</t>
  </si>
  <si>
    <t>%GDP</t>
  </si>
  <si>
    <t>Nominal</t>
  </si>
  <si>
    <t>Gross debt</t>
  </si>
  <si>
    <t>Debt Stock</t>
  </si>
  <si>
    <t>Original Cost (LC$)</t>
  </si>
  <si>
    <t>Updated Cost (LC$)</t>
  </si>
  <si>
    <t>Increase vs. Original Cost</t>
  </si>
  <si>
    <t>Public Investment Portfolio, PIMNIA</t>
  </si>
  <si>
    <t>The government has identified that the strategic planning priority for the country is improve transport connectivity and health outcomes.</t>
  </si>
  <si>
    <t xml:space="preserve">The macrofiscal projection done by the macroeconomic department of the MoF are presented in the tab "Macro Var". These include some historic information and projections for the budget and MTFF period (2017-2020) as well as long-term projections for the whole economy. </t>
  </si>
  <si>
    <t>The task</t>
  </si>
  <si>
    <t>The country has two fiscal rules: overall deficit cannot exceed 3.0% of GDP and public gross debt cannot exceed 50% of GDP. By the end of 2016, PIMNIA overall fiscal deficit is above the rule (-3.4% of GDP) while its gross debt is sligthly lower than the ceiling (48.5% of GDP).</t>
  </si>
  <si>
    <t>The government expects to converge to the overall fiscal deficit ceiling of 3.0% by the end of the MTFF (2020), for which is will extremelly important to keep expenditures within the medium-term expenditure ceiling. In row 17 of tab "Macro Var", the nominal ceiling for capital expenditures is presented.</t>
  </si>
  <si>
    <t xml:space="preserve">At the end of 2016, the ministry of finance is in the process of prioritizing and selecting infrastructure projects to be included in the 2017 budget and its medium-term expenditure framework (2018-2020). </t>
  </si>
  <si>
    <t>PIMNIA is a middle-income country that at the end of 2016 has a public investment portfolio comprising 28 projects (16 on-going and 12 new projects yet to be implemented). These projects belong to 5 economic sectors: agriculture, health, education, public works and transport, and water and sanitation. Details for each of the 28 projects comprising the overall PIP portfolio are included in the tab "The PIP portfolio"</t>
  </si>
  <si>
    <t xml:space="preserve">The government need to select which of the 28 projects of its portfolio can be included in the budget without exceeding the capital expenditure ceiling  (row 17 in tab "Macro Var") </t>
  </si>
  <si>
    <t xml:space="preserve">For that, government officials will  input in tab "The PIP portfolio" column AP, a YES/NO answer (using a drop-down menu). With YES for selecting the project for inclusion in the budget, and NO for excluding it. </t>
  </si>
  <si>
    <t>To check if projects selected are fiscally affordable, meaning they fit within the fiscal space asigned for capital spending, look at tab "Simulations of 2017 MTEF".</t>
  </si>
  <si>
    <t xml:space="preserve">This tab automatically calculate whether the set of projects selected fit within the capital expenditure ceiling (red horizontal bar in charts). </t>
  </si>
  <si>
    <t>Please discuss in your group:,</t>
  </si>
  <si>
    <t>What are reasons behing this selection?</t>
  </si>
  <si>
    <t>Which are the projects that should be selected for inclusion in the budget in 2017-2020?</t>
  </si>
  <si>
    <t>Group1</t>
  </si>
  <si>
    <t>Group2</t>
  </si>
  <si>
    <t>Group3</t>
  </si>
  <si>
    <t>Group4</t>
  </si>
  <si>
    <t>Group5</t>
  </si>
  <si>
    <t>Group6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</si>
</sst>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quot;$&quot;#,##0.00"/>
    <numFmt numFmtId="166" formatCode="#,##0.0"/>
    <numFmt numFmtId="167" formatCode="0.0%"/>
    <numFmt numFmtId="168" formatCode="#,##0.0;\(#,##0.0\);\-\-"/>
  </numFmts>
  <fonts count="28" x14ac:knownFonts="1">
    <font>
      <sz val="11"/>
      <color theme="1"/>
      <name val="Calibri"/>
      <family val="2"/>
      <scheme val="minor"/>
    </font>
    <font>
      <sz val="12"/>
      <color theme="1"/>
      <name val="Calibri"/>
      <family val="2"/>
      <scheme val="minor"/>
    </font>
    <font>
      <b/>
      <sz val="9"/>
      <color indexed="81"/>
      <name val="Tahoma"/>
      <family val="2"/>
    </font>
    <font>
      <sz val="9"/>
      <color indexed="81"/>
      <name val="Tahoma"/>
      <family val="2"/>
    </font>
    <font>
      <b/>
      <sz val="12"/>
      <color theme="0"/>
      <name val="Arial Nova"/>
      <family val="2"/>
    </font>
    <font>
      <b/>
      <sz val="11"/>
      <color theme="0"/>
      <name val="Arial Nova"/>
      <family val="2"/>
    </font>
    <font>
      <sz val="12"/>
      <color theme="1"/>
      <name val="Arial Nova"/>
      <family val="2"/>
    </font>
    <font>
      <sz val="12"/>
      <name val="Arial Nova"/>
      <family val="2"/>
    </font>
    <font>
      <sz val="11"/>
      <color theme="1"/>
      <name val="Arial Nova"/>
      <family val="2"/>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5"/>
      <color theme="0"/>
      <name val="Segoe UI"/>
      <family val="2"/>
    </font>
    <font>
      <sz val="11"/>
      <color theme="0"/>
      <name val="Segoe UI"/>
      <family val="2"/>
    </font>
    <font>
      <b/>
      <sz val="11"/>
      <color theme="0"/>
      <name val="Segoe UI"/>
      <family val="2"/>
    </font>
    <font>
      <b/>
      <sz val="11"/>
      <color theme="1"/>
      <name val="Segoe UI"/>
      <family val="2"/>
    </font>
    <font>
      <sz val="11"/>
      <color theme="1"/>
      <name val="Segoe UI"/>
      <family val="2"/>
    </font>
    <font>
      <i/>
      <sz val="11"/>
      <color rgb="FFC00000"/>
      <name val="Segoe UI"/>
      <family val="2"/>
    </font>
    <font>
      <b/>
      <sz val="11"/>
      <color theme="4"/>
      <name val="Segoe UI"/>
      <family val="2"/>
    </font>
    <font>
      <sz val="11"/>
      <color rgb="FFC00000"/>
      <name val="Segoe UI"/>
      <family val="2"/>
    </font>
    <font>
      <i/>
      <sz val="11"/>
      <color theme="1"/>
      <name val="Calibri"/>
      <family val="2"/>
      <scheme val="minor"/>
    </font>
    <font>
      <sz val="11"/>
      <color rgb="FFC00000"/>
      <name val="Calibri"/>
      <family val="2"/>
      <scheme val="minor"/>
    </font>
    <font>
      <b/>
      <sz val="11"/>
      <color theme="1"/>
      <name val="Arial Nova"/>
      <family val="2"/>
    </font>
    <font>
      <b/>
      <sz val="12"/>
      <color theme="0"/>
      <name val="Arial Black"/>
      <family val="2"/>
    </font>
    <font>
      <sz val="11"/>
      <color theme="0"/>
      <name val="Arial Black"/>
      <family val="2"/>
    </font>
    <font>
      <b/>
      <sz val="11"/>
      <color theme="4"/>
      <name val="Calibri"/>
      <family val="2"/>
      <scheme val="minor"/>
    </font>
    <font>
      <b/>
      <sz val="11"/>
      <name val="Arial Nova"/>
      <family val="2"/>
    </font>
  </fonts>
  <fills count="1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bgColor indexed="64"/>
      </patternFill>
    </fill>
    <fill>
      <patternFill patternType="solid">
        <fgColor rgb="FF0070C0"/>
        <bgColor indexed="64"/>
      </patternFill>
    </fill>
    <fill>
      <patternFill patternType="solid">
        <fgColor theme="0" tint="-4.986724448377941E-2"/>
        <bgColor indexed="64"/>
      </patternFill>
    </fill>
    <fill>
      <patternFill patternType="solid">
        <fgColor theme="9"/>
        <bgColor indexed="64"/>
      </patternFill>
    </fill>
    <fill>
      <patternFill patternType="solid">
        <fgColor theme="9" tint="0.59999389629810485"/>
        <bgColor indexed="64"/>
      </patternFill>
    </fill>
    <fill>
      <patternFill patternType="solid">
        <fgColor theme="8" tint="-0.249977111117893"/>
        <bgColor indexed="64"/>
      </patternFill>
    </fill>
    <fill>
      <patternFill patternType="solid">
        <fgColor theme="7" tint="0.39997558519241921"/>
        <bgColor indexed="64"/>
      </patternFill>
    </fill>
    <fill>
      <patternFill patternType="solid">
        <fgColor theme="8"/>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rgb="FF002060"/>
        <bgColor indexed="64"/>
      </patternFill>
    </fill>
  </fills>
  <borders count="17">
    <border>
      <left/>
      <right/>
      <top/>
      <bottom/>
      <diagonal/>
    </border>
    <border>
      <left/>
      <right/>
      <top style="thin">
        <color indexed="64"/>
      </top>
      <bottom style="thin">
        <color auto="1"/>
      </bottom>
      <diagonal/>
    </border>
    <border>
      <left/>
      <right/>
      <top/>
      <bottom style="thin">
        <color auto="1"/>
      </bottom>
      <diagonal/>
    </border>
    <border>
      <left style="dotted">
        <color auto="1"/>
      </left>
      <right style="dotted">
        <color auto="1"/>
      </right>
      <top/>
      <bottom/>
      <diagonal/>
    </border>
    <border>
      <left style="dotted">
        <color auto="1"/>
      </left>
      <right/>
      <top/>
      <bottom/>
      <diagonal/>
    </border>
    <border>
      <left/>
      <right style="dotted">
        <color auto="1"/>
      </right>
      <top/>
      <bottom/>
      <diagonal/>
    </border>
    <border>
      <left/>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indexed="64"/>
      </right>
      <top/>
      <bottom style="thin">
        <color auto="1"/>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4">
    <xf numFmtId="0" fontId="0" fillId="0" borderId="0"/>
    <xf numFmtId="0" fontId="1" fillId="0" borderId="0"/>
    <xf numFmtId="9" fontId="9" fillId="0" borderId="0" applyFont="0" applyFill="0" applyBorder="0" applyAlignment="0" applyProtection="0"/>
    <xf numFmtId="166" fontId="17" fillId="10" borderId="2">
      <alignment horizontal="center"/>
    </xf>
  </cellStyleXfs>
  <cellXfs count="143">
    <xf numFmtId="0" fontId="0" fillId="0" borderId="0" xfId="0"/>
    <xf numFmtId="0" fontId="8" fillId="0" borderId="0" xfId="0" applyFont="1"/>
    <xf numFmtId="0" fontId="8" fillId="0" borderId="0" xfId="0" applyFont="1" applyBorder="1"/>
    <xf numFmtId="0" fontId="4" fillId="4" borderId="0" xfId="1" applyFont="1" applyFill="1" applyBorder="1" applyAlignment="1">
      <alignment horizontal="center" vertical="center" wrapText="1"/>
    </xf>
    <xf numFmtId="0" fontId="6" fillId="0" borderId="0" xfId="1" quotePrefix="1" applyFont="1" applyBorder="1" applyAlignment="1">
      <alignment vertical="center" wrapText="1"/>
    </xf>
    <xf numFmtId="0" fontId="6" fillId="0" borderId="0" xfId="1" applyFont="1" applyBorder="1" applyAlignment="1">
      <alignment horizontal="left" vertical="center" wrapText="1"/>
    </xf>
    <xf numFmtId="0" fontId="6" fillId="0" borderId="0" xfId="1" applyFont="1" applyBorder="1" applyAlignment="1">
      <alignment horizontal="center" vertical="center" wrapText="1"/>
    </xf>
    <xf numFmtId="4" fontId="6" fillId="0" borderId="0" xfId="1" applyNumberFormat="1" applyFont="1" applyBorder="1" applyAlignment="1">
      <alignment horizontal="center" vertical="center" wrapText="1"/>
    </xf>
    <xf numFmtId="0" fontId="6" fillId="0" borderId="0" xfId="1" applyFont="1" applyBorder="1" applyAlignment="1">
      <alignment vertical="center" wrapText="1"/>
    </xf>
    <xf numFmtId="0" fontId="6" fillId="3" borderId="0" xfId="1" applyFont="1" applyFill="1" applyBorder="1" applyAlignment="1">
      <alignment horizontal="center" vertical="center" wrapText="1"/>
    </xf>
    <xf numFmtId="165" fontId="6" fillId="0" borderId="0" xfId="1" applyNumberFormat="1" applyFont="1" applyBorder="1" applyAlignment="1">
      <alignment horizontal="center" vertical="center" wrapText="1"/>
    </xf>
    <xf numFmtId="0" fontId="6" fillId="0" borderId="0" xfId="1" applyFont="1" applyFill="1" applyBorder="1" applyAlignment="1">
      <alignment horizontal="left" vertical="center" wrapText="1"/>
    </xf>
    <xf numFmtId="0" fontId="6" fillId="0" borderId="0" xfId="1" applyFont="1" applyFill="1" applyBorder="1" applyAlignment="1">
      <alignment horizontal="center" vertical="center" wrapText="1"/>
    </xf>
    <xf numFmtId="9" fontId="6" fillId="0" borderId="0" xfId="1" applyNumberFormat="1" applyFont="1" applyFill="1" applyBorder="1" applyAlignment="1">
      <alignment horizontal="center" vertical="center" wrapText="1"/>
    </xf>
    <xf numFmtId="4" fontId="6" fillId="0" borderId="0" xfId="1" applyNumberFormat="1" applyFont="1" applyFill="1" applyBorder="1" applyAlignment="1">
      <alignment horizontal="center" vertical="center" wrapText="1"/>
    </xf>
    <xf numFmtId="0" fontId="6" fillId="0" borderId="4" xfId="1" applyFont="1" applyBorder="1" applyAlignment="1">
      <alignment horizontal="left" vertical="center" wrapText="1"/>
    </xf>
    <xf numFmtId="0" fontId="7" fillId="0" borderId="5"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4" xfId="1" applyFont="1" applyFill="1" applyBorder="1" applyAlignment="1">
      <alignment horizontal="left" vertical="center" wrapText="1"/>
    </xf>
    <xf numFmtId="0" fontId="6" fillId="0" borderId="5" xfId="1" applyFont="1" applyFill="1" applyBorder="1" applyAlignment="1">
      <alignment horizontal="left" vertical="center" wrapText="1"/>
    </xf>
    <xf numFmtId="4" fontId="6" fillId="0" borderId="4" xfId="1" applyNumberFormat="1" applyFont="1" applyFill="1" applyBorder="1" applyAlignment="1">
      <alignment horizontal="center" vertical="center" wrapText="1"/>
    </xf>
    <xf numFmtId="4" fontId="6" fillId="0" borderId="5" xfId="1" applyNumberFormat="1" applyFont="1" applyFill="1" applyBorder="1" applyAlignment="1">
      <alignment horizontal="center" vertical="center" wrapText="1"/>
    </xf>
    <xf numFmtId="0" fontId="5" fillId="0" borderId="0" xfId="0" applyFont="1" applyFill="1"/>
    <xf numFmtId="165" fontId="8" fillId="0" borderId="0" xfId="0" applyNumberFormat="1" applyFont="1"/>
    <xf numFmtId="0" fontId="13" fillId="5" borderId="6" xfId="0" applyFont="1" applyFill="1" applyBorder="1" applyAlignment="1" applyProtection="1">
      <alignment vertical="center"/>
      <protection locked="0"/>
    </xf>
    <xf numFmtId="0" fontId="14" fillId="0" borderId="0" xfId="0" applyFont="1" applyAlignment="1" applyProtection="1">
      <alignment horizontal="center" vertical="center"/>
      <protection locked="0"/>
    </xf>
    <xf numFmtId="0" fontId="15" fillId="0" borderId="7" xfId="0" applyFont="1" applyBorder="1" applyProtection="1">
      <protection locked="0"/>
    </xf>
    <xf numFmtId="1" fontId="16" fillId="6" borderId="8" xfId="0" applyNumberFormat="1" applyFont="1" applyFill="1" applyBorder="1" applyAlignment="1" applyProtection="1">
      <alignment horizontal="right"/>
      <protection locked="0"/>
    </xf>
    <xf numFmtId="1" fontId="15" fillId="7" borderId="8" xfId="0" applyNumberFormat="1" applyFont="1" applyFill="1" applyBorder="1" applyAlignment="1" applyProtection="1">
      <alignment horizontal="right"/>
      <protection locked="0"/>
    </xf>
    <xf numFmtId="1" fontId="16" fillId="8" borderId="8" xfId="0" applyNumberFormat="1" applyFont="1" applyFill="1" applyBorder="1" applyAlignment="1" applyProtection="1">
      <alignment horizontal="right"/>
      <protection locked="0"/>
    </xf>
    <xf numFmtId="0" fontId="15" fillId="0" borderId="0" xfId="0" applyFont="1" applyProtection="1">
      <protection locked="0"/>
    </xf>
    <xf numFmtId="0" fontId="14" fillId="0" borderId="0" xfId="0" applyFont="1" applyProtection="1">
      <protection locked="0"/>
    </xf>
    <xf numFmtId="0" fontId="15" fillId="9" borderId="9" xfId="0" applyFont="1" applyFill="1" applyBorder="1" applyAlignment="1" applyProtection="1">
      <alignment horizontal="left"/>
      <protection locked="0"/>
    </xf>
    <xf numFmtId="0" fontId="15" fillId="9" borderId="1" xfId="0" applyFont="1" applyFill="1" applyBorder="1" applyAlignment="1" applyProtection="1">
      <alignment horizontal="left"/>
      <protection locked="0"/>
    </xf>
    <xf numFmtId="166" fontId="14" fillId="9" borderId="1" xfId="0" applyNumberFormat="1" applyFont="1" applyFill="1" applyBorder="1" applyAlignment="1" applyProtection="1">
      <alignment horizontal="right"/>
      <protection locked="0"/>
    </xf>
    <xf numFmtId="166" fontId="14" fillId="9" borderId="10" xfId="0" applyNumberFormat="1" applyFont="1" applyFill="1" applyBorder="1" applyAlignment="1" applyProtection="1">
      <alignment horizontal="right"/>
      <protection locked="0"/>
    </xf>
    <xf numFmtId="0" fontId="17" fillId="3" borderId="11" xfId="0" applyFont="1" applyFill="1" applyBorder="1" applyProtection="1">
      <protection locked="0"/>
    </xf>
    <xf numFmtId="0" fontId="17" fillId="3" borderId="0" xfId="0" applyFont="1" applyFill="1" applyProtection="1">
      <protection locked="0"/>
    </xf>
    <xf numFmtId="166" fontId="17" fillId="10" borderId="2" xfId="3" applyAlignment="1" applyProtection="1">
      <alignment horizontal="right"/>
      <protection locked="0"/>
    </xf>
    <xf numFmtId="166" fontId="17" fillId="10" borderId="2" xfId="0" applyNumberFormat="1" applyFont="1" applyFill="1" applyBorder="1" applyAlignment="1" applyProtection="1">
      <alignment horizontal="right"/>
      <protection locked="0"/>
    </xf>
    <xf numFmtId="166" fontId="17" fillId="10" borderId="12" xfId="0" applyNumberFormat="1" applyFont="1" applyFill="1" applyBorder="1" applyAlignment="1" applyProtection="1">
      <alignment horizontal="right"/>
      <protection locked="0"/>
    </xf>
    <xf numFmtId="0" fontId="14" fillId="0" borderId="0" xfId="0" applyFont="1" applyAlignment="1" applyProtection="1">
      <alignment horizontal="center"/>
      <protection locked="0"/>
    </xf>
    <xf numFmtId="166" fontId="17" fillId="10" borderId="1" xfId="0" applyNumberFormat="1" applyFont="1" applyFill="1" applyBorder="1" applyAlignment="1" applyProtection="1">
      <alignment horizontal="right"/>
      <protection locked="0"/>
    </xf>
    <xf numFmtId="166" fontId="17" fillId="10" borderId="10" xfId="0" applyNumberFormat="1" applyFont="1" applyFill="1" applyBorder="1" applyAlignment="1" applyProtection="1">
      <alignment horizontal="right"/>
      <protection locked="0"/>
    </xf>
    <xf numFmtId="4" fontId="17" fillId="10" borderId="1" xfId="0" applyNumberFormat="1" applyFont="1" applyFill="1" applyBorder="1" applyAlignment="1" applyProtection="1">
      <alignment horizontal="right"/>
      <protection locked="0"/>
    </xf>
    <xf numFmtId="0" fontId="18" fillId="3" borderId="11" xfId="0" applyFont="1" applyFill="1" applyBorder="1" applyAlignment="1" applyProtection="1">
      <alignment horizontal="left" indent="4"/>
      <protection locked="0"/>
    </xf>
    <xf numFmtId="4" fontId="18" fillId="10" borderId="1" xfId="0" applyNumberFormat="1" applyFont="1" applyFill="1" applyBorder="1" applyAlignment="1" applyProtection="1">
      <alignment horizontal="right"/>
      <protection locked="0"/>
    </xf>
    <xf numFmtId="166" fontId="15" fillId="11" borderId="1" xfId="0" applyNumberFormat="1" applyFont="1" applyFill="1" applyBorder="1" applyAlignment="1" applyProtection="1">
      <alignment horizontal="right"/>
      <protection locked="0"/>
    </xf>
    <xf numFmtId="166" fontId="18" fillId="10" borderId="1" xfId="0" applyNumberFormat="1" applyFont="1" applyFill="1" applyBorder="1" applyAlignment="1" applyProtection="1">
      <alignment horizontal="right"/>
      <protection locked="0"/>
    </xf>
    <xf numFmtId="0" fontId="20" fillId="3" borderId="11" xfId="0" applyFont="1" applyFill="1" applyBorder="1" applyAlignment="1" applyProtection="1">
      <alignment horizontal="left"/>
      <protection locked="0"/>
    </xf>
    <xf numFmtId="166" fontId="20" fillId="10" borderId="1" xfId="0" applyNumberFormat="1" applyFont="1" applyFill="1" applyBorder="1" applyAlignment="1" applyProtection="1">
      <alignment horizontal="right"/>
      <protection locked="0"/>
    </xf>
    <xf numFmtId="10" fontId="17" fillId="12" borderId="1" xfId="2" applyNumberFormat="1" applyFont="1" applyFill="1" applyBorder="1" applyAlignment="1" applyProtection="1">
      <alignment horizontal="right"/>
      <protection locked="0"/>
    </xf>
    <xf numFmtId="10" fontId="17" fillId="12" borderId="10" xfId="2" applyNumberFormat="1" applyFont="1" applyFill="1" applyBorder="1" applyAlignment="1" applyProtection="1">
      <alignment horizontal="right"/>
      <protection locked="0"/>
    </xf>
    <xf numFmtId="4" fontId="17" fillId="12" borderId="1" xfId="0" applyNumberFormat="1" applyFont="1" applyFill="1" applyBorder="1" applyAlignment="1" applyProtection="1">
      <alignment horizontal="right"/>
      <protection locked="0"/>
    </xf>
    <xf numFmtId="4" fontId="17" fillId="12" borderId="10" xfId="0" applyNumberFormat="1" applyFont="1" applyFill="1" applyBorder="1" applyAlignment="1" applyProtection="1">
      <alignment horizontal="right"/>
      <protection locked="0"/>
    </xf>
    <xf numFmtId="166" fontId="17" fillId="12" borderId="1" xfId="0" applyNumberFormat="1" applyFont="1" applyFill="1" applyBorder="1" applyAlignment="1" applyProtection="1">
      <alignment horizontal="right"/>
      <protection locked="0"/>
    </xf>
    <xf numFmtId="166" fontId="20" fillId="12" borderId="1" xfId="0" applyNumberFormat="1" applyFont="1" applyFill="1" applyBorder="1" applyAlignment="1" applyProtection="1">
      <alignment horizontal="right"/>
      <protection locked="0"/>
    </xf>
    <xf numFmtId="0" fontId="17" fillId="3" borderId="13" xfId="0" applyFont="1" applyFill="1" applyBorder="1" applyProtection="1">
      <protection locked="0"/>
    </xf>
    <xf numFmtId="0" fontId="17" fillId="3" borderId="14" xfId="0" applyFont="1" applyFill="1" applyBorder="1" applyProtection="1">
      <protection locked="0"/>
    </xf>
    <xf numFmtId="4" fontId="17" fillId="12" borderId="15" xfId="0" applyNumberFormat="1" applyFont="1" applyFill="1" applyBorder="1" applyAlignment="1" applyProtection="1">
      <alignment horizontal="right"/>
      <protection locked="0"/>
    </xf>
    <xf numFmtId="4" fontId="17" fillId="12" borderId="16" xfId="0" applyNumberFormat="1" applyFont="1" applyFill="1" applyBorder="1" applyAlignment="1" applyProtection="1">
      <alignment horizontal="right"/>
      <protection locked="0"/>
    </xf>
    <xf numFmtId="0" fontId="16" fillId="0" borderId="0" xfId="0" applyFont="1" applyFill="1" applyBorder="1" applyProtection="1">
      <protection locked="0"/>
    </xf>
    <xf numFmtId="0" fontId="0" fillId="0" borderId="0" xfId="0" applyFill="1"/>
    <xf numFmtId="0" fontId="0" fillId="2" borderId="0" xfId="0" applyFill="1"/>
    <xf numFmtId="0" fontId="0" fillId="0" borderId="0" xfId="0" applyAlignment="1">
      <alignment horizontal="right"/>
    </xf>
    <xf numFmtId="0" fontId="10" fillId="7" borderId="0" xfId="0" applyFont="1" applyFill="1"/>
    <xf numFmtId="164" fontId="0" fillId="0" borderId="0" xfId="0" applyNumberFormat="1"/>
    <xf numFmtId="164" fontId="10" fillId="7" borderId="0" xfId="0" applyNumberFormat="1" applyFont="1" applyFill="1"/>
    <xf numFmtId="0" fontId="21" fillId="0" borderId="0" xfId="0" applyFont="1" applyFill="1" applyAlignment="1">
      <alignment horizontal="left" indent="1"/>
    </xf>
    <xf numFmtId="164" fontId="22" fillId="2" borderId="0" xfId="0" applyNumberFormat="1" applyFont="1" applyFill="1"/>
    <xf numFmtId="164" fontId="0" fillId="2" borderId="0" xfId="0" applyNumberFormat="1" applyFill="1"/>
    <xf numFmtId="0" fontId="21" fillId="0" borderId="0" xfId="0" applyFont="1" applyAlignment="1">
      <alignment horizontal="left" indent="1"/>
    </xf>
    <xf numFmtId="0" fontId="22" fillId="0" borderId="0" xfId="0" applyFont="1"/>
    <xf numFmtId="9" fontId="22" fillId="0" borderId="0" xfId="2" applyFont="1"/>
    <xf numFmtId="0" fontId="21" fillId="0" borderId="0" xfId="0" applyFont="1"/>
    <xf numFmtId="164" fontId="0" fillId="13" borderId="0" xfId="0" applyNumberFormat="1" applyFill="1"/>
    <xf numFmtId="2" fontId="0" fillId="0" borderId="0" xfId="0" applyNumberFormat="1"/>
    <xf numFmtId="0" fontId="0" fillId="0" borderId="0" xfId="0" applyAlignment="1">
      <alignment horizontal="right" indent="1"/>
    </xf>
    <xf numFmtId="1" fontId="0" fillId="13" borderId="0" xfId="0" applyNumberFormat="1" applyFill="1"/>
    <xf numFmtId="164" fontId="10" fillId="11" borderId="0" xfId="0" applyNumberFormat="1" applyFont="1" applyFill="1"/>
    <xf numFmtId="2" fontId="12" fillId="11" borderId="0" xfId="0" applyNumberFormat="1" applyFont="1" applyFill="1"/>
    <xf numFmtId="167" fontId="6" fillId="0" borderId="0" xfId="2" applyNumberFormat="1" applyFont="1" applyFill="1" applyBorder="1" applyAlignment="1">
      <alignment horizontal="center" vertical="center" wrapText="1"/>
    </xf>
    <xf numFmtId="10" fontId="6" fillId="0" borderId="0" xfId="1" applyNumberFormat="1" applyFont="1" applyBorder="1" applyAlignment="1">
      <alignment horizontal="center" vertical="center" wrapText="1"/>
    </xf>
    <xf numFmtId="166" fontId="8" fillId="0" borderId="0" xfId="0" applyNumberFormat="1" applyFont="1"/>
    <xf numFmtId="167" fontId="8" fillId="0" borderId="0" xfId="2" applyNumberFormat="1" applyFont="1" applyAlignment="1">
      <alignment horizontal="center"/>
    </xf>
    <xf numFmtId="167" fontId="8" fillId="0" borderId="0" xfId="2" applyNumberFormat="1" applyFont="1" applyBorder="1" applyAlignment="1">
      <alignment horizontal="center"/>
    </xf>
    <xf numFmtId="0" fontId="7" fillId="0" borderId="0" xfId="1" applyFont="1" applyFill="1" applyBorder="1" applyAlignment="1">
      <alignment horizontal="center" vertical="center" wrapText="1"/>
    </xf>
    <xf numFmtId="0" fontId="0" fillId="0" borderId="0" xfId="0" applyAlignment="1">
      <alignment horizontal="left" indent="1"/>
    </xf>
    <xf numFmtId="168" fontId="0" fillId="0" borderId="0" xfId="0" applyNumberFormat="1"/>
    <xf numFmtId="0" fontId="11" fillId="0" borderId="0" xfId="0" applyFont="1"/>
    <xf numFmtId="4" fontId="6" fillId="0" borderId="3" xfId="1" applyNumberFormat="1" applyFont="1" applyFill="1" applyBorder="1" applyAlignment="1">
      <alignment horizontal="center" vertical="center" wrapText="1"/>
    </xf>
    <xf numFmtId="0" fontId="11" fillId="0" borderId="2" xfId="0" applyFont="1" applyBorder="1"/>
    <xf numFmtId="4" fontId="11" fillId="0" borderId="2" xfId="0" applyNumberFormat="1" applyFont="1" applyBorder="1"/>
    <xf numFmtId="168" fontId="11" fillId="0" borderId="2" xfId="0" applyNumberFormat="1" applyFont="1" applyBorder="1"/>
    <xf numFmtId="0" fontId="11" fillId="0" borderId="1" xfId="0" applyFont="1" applyBorder="1"/>
    <xf numFmtId="168" fontId="11" fillId="0" borderId="1" xfId="0" applyNumberFormat="1" applyFont="1" applyBorder="1"/>
    <xf numFmtId="0" fontId="0" fillId="0" borderId="1" xfId="0" applyBorder="1"/>
    <xf numFmtId="168" fontId="0" fillId="0" borderId="1" xfId="0" applyNumberFormat="1" applyBorder="1"/>
    <xf numFmtId="168" fontId="11" fillId="0" borderId="0" xfId="0" quotePrefix="1" applyNumberFormat="1" applyFont="1" applyAlignment="1">
      <alignment horizontal="center"/>
    </xf>
    <xf numFmtId="168" fontId="11" fillId="0" borderId="0" xfId="0" applyNumberFormat="1" applyFont="1" applyAlignment="1">
      <alignment horizontal="right"/>
    </xf>
    <xf numFmtId="0" fontId="10" fillId="14" borderId="0" xfId="0" applyFont="1" applyFill="1" applyAlignment="1">
      <alignment horizontal="center"/>
    </xf>
    <xf numFmtId="0" fontId="10" fillId="14" borderId="0" xfId="0" applyFont="1" applyFill="1"/>
    <xf numFmtId="0" fontId="5" fillId="14" borderId="0" xfId="0" applyFont="1" applyFill="1" applyBorder="1"/>
    <xf numFmtId="0" fontId="5" fillId="14" borderId="4" xfId="0" applyFont="1" applyFill="1" applyBorder="1"/>
    <xf numFmtId="0" fontId="5" fillId="14" borderId="4" xfId="0" applyFont="1" applyFill="1" applyBorder="1" applyAlignment="1">
      <alignment horizontal="centerContinuous"/>
    </xf>
    <xf numFmtId="0" fontId="5" fillId="14" borderId="0" xfId="0" applyFont="1" applyFill="1" applyBorder="1" applyAlignment="1">
      <alignment horizontal="centerContinuous"/>
    </xf>
    <xf numFmtId="0" fontId="5" fillId="14" borderId="5" xfId="0" applyFont="1" applyFill="1" applyBorder="1" applyAlignment="1">
      <alignment horizontal="centerContinuous"/>
    </xf>
    <xf numFmtId="0" fontId="5" fillId="14" borderId="3" xfId="0" applyNumberFormat="1" applyFont="1" applyFill="1" applyBorder="1" applyAlignment="1">
      <alignment horizontal="centerContinuous"/>
    </xf>
    <xf numFmtId="0" fontId="5" fillId="14" borderId="3" xfId="0" applyFont="1" applyFill="1" applyBorder="1" applyAlignment="1">
      <alignment horizontal="centerContinuous"/>
    </xf>
    <xf numFmtId="0" fontId="5" fillId="14" borderId="3" xfId="0" applyFont="1" applyFill="1" applyBorder="1"/>
    <xf numFmtId="0" fontId="5" fillId="14" borderId="5" xfId="0" applyFont="1" applyFill="1" applyBorder="1"/>
    <xf numFmtId="0" fontId="4" fillId="14" borderId="0" xfId="1" applyFont="1" applyFill="1" applyBorder="1" applyAlignment="1">
      <alignment horizontal="center" vertical="center" wrapText="1"/>
    </xf>
    <xf numFmtId="0" fontId="4" fillId="14" borderId="4" xfId="1" applyFont="1" applyFill="1" applyBorder="1" applyAlignment="1">
      <alignment horizontal="center" vertical="center" wrapText="1"/>
    </xf>
    <xf numFmtId="0" fontId="4" fillId="14" borderId="5" xfId="1" applyFont="1" applyFill="1" applyBorder="1" applyAlignment="1">
      <alignment horizontal="left" vertical="center" wrapText="1"/>
    </xf>
    <xf numFmtId="0" fontId="4" fillId="14" borderId="3" xfId="1" applyFont="1" applyFill="1" applyBorder="1" applyAlignment="1">
      <alignment horizontal="center" vertical="center" wrapText="1"/>
    </xf>
    <xf numFmtId="0" fontId="4" fillId="14" borderId="5" xfId="1" applyFont="1" applyFill="1" applyBorder="1" applyAlignment="1">
      <alignment horizontal="center" vertical="center" wrapText="1"/>
    </xf>
    <xf numFmtId="168" fontId="6" fillId="0" borderId="0" xfId="1" applyNumberFormat="1" applyFont="1" applyFill="1" applyBorder="1" applyAlignment="1">
      <alignment horizontal="center" vertical="center" wrapText="1"/>
    </xf>
    <xf numFmtId="4" fontId="8" fillId="0" borderId="0" xfId="0" applyNumberFormat="1" applyFont="1"/>
    <xf numFmtId="4" fontId="8" fillId="0" borderId="0" xfId="0" applyNumberFormat="1" applyFont="1" applyAlignment="1">
      <alignment vertical="center"/>
    </xf>
    <xf numFmtId="2" fontId="8" fillId="0" borderId="0" xfId="0" applyNumberFormat="1" applyFont="1" applyAlignment="1">
      <alignment vertical="center"/>
    </xf>
    <xf numFmtId="164" fontId="8" fillId="0" borderId="0" xfId="0" applyNumberFormat="1" applyFont="1" applyAlignment="1">
      <alignment vertical="center"/>
    </xf>
    <xf numFmtId="166" fontId="17" fillId="13" borderId="1" xfId="0" applyNumberFormat="1" applyFont="1" applyFill="1" applyBorder="1" applyAlignment="1" applyProtection="1">
      <alignment horizontal="right"/>
      <protection locked="0"/>
    </xf>
    <xf numFmtId="4" fontId="18" fillId="13" borderId="1" xfId="0" applyNumberFormat="1" applyFont="1" applyFill="1" applyBorder="1" applyAlignment="1" applyProtection="1">
      <alignment horizontal="right"/>
      <protection locked="0"/>
    </xf>
    <xf numFmtId="166" fontId="18" fillId="13" borderId="1" xfId="0" applyNumberFormat="1" applyFont="1" applyFill="1" applyBorder="1" applyAlignment="1" applyProtection="1">
      <alignment horizontal="right"/>
      <protection locked="0"/>
    </xf>
    <xf numFmtId="164" fontId="11" fillId="13" borderId="0" xfId="0" applyNumberFormat="1" applyFont="1" applyFill="1"/>
    <xf numFmtId="0" fontId="0" fillId="13" borderId="0" xfId="0" applyFill="1"/>
    <xf numFmtId="166" fontId="0" fillId="0" borderId="0" xfId="0" applyNumberFormat="1"/>
    <xf numFmtId="0" fontId="23" fillId="0" borderId="0" xfId="0" applyFont="1" applyAlignment="1">
      <alignment horizontal="centerContinuous"/>
    </xf>
    <xf numFmtId="0" fontId="23" fillId="0" borderId="0" xfId="0" applyFont="1" applyFill="1" applyAlignment="1">
      <alignment horizontal="centerContinuous"/>
    </xf>
    <xf numFmtId="0" fontId="8" fillId="0" borderId="0" xfId="0" applyFont="1" applyAlignment="1">
      <alignment horizontal="centerContinuous"/>
    </xf>
    <xf numFmtId="0" fontId="23" fillId="0" borderId="0" xfId="0" applyFont="1" applyFill="1" applyAlignment="1">
      <alignment vertical="center"/>
    </xf>
    <xf numFmtId="4" fontId="0" fillId="0" borderId="0" xfId="0" applyNumberFormat="1"/>
    <xf numFmtId="0" fontId="4" fillId="14" borderId="4" xfId="1" applyFont="1" applyFill="1" applyBorder="1" applyAlignment="1">
      <alignment horizontal="left" vertical="center" wrapText="1"/>
    </xf>
    <xf numFmtId="0" fontId="4" fillId="14" borderId="0" xfId="1" applyFont="1" applyFill="1" applyBorder="1" applyAlignment="1">
      <alignment horizontal="left" vertical="center" wrapText="1"/>
    </xf>
    <xf numFmtId="167" fontId="6" fillId="0" borderId="5" xfId="2" applyNumberFormat="1" applyFont="1" applyFill="1" applyBorder="1" applyAlignment="1">
      <alignment horizontal="center" vertical="center" wrapText="1"/>
    </xf>
    <xf numFmtId="2" fontId="6" fillId="0" borderId="4" xfId="1" applyNumberFormat="1" applyFont="1" applyFill="1" applyBorder="1" applyAlignment="1">
      <alignment horizontal="center" vertical="center" wrapText="1"/>
    </xf>
    <xf numFmtId="10" fontId="6" fillId="0" borderId="0" xfId="1" applyNumberFormat="1" applyFont="1" applyFill="1" applyBorder="1" applyAlignment="1">
      <alignment horizontal="center" vertical="center" wrapText="1"/>
    </xf>
    <xf numFmtId="0" fontId="24" fillId="4" borderId="0" xfId="0" applyFont="1" applyFill="1" applyAlignment="1">
      <alignment horizontal="left"/>
    </xf>
    <xf numFmtId="0" fontId="25" fillId="4" borderId="0" xfId="0" applyFont="1" applyFill="1" applyAlignment="1">
      <alignment horizontal="center" vertical="center"/>
    </xf>
    <xf numFmtId="167" fontId="26" fillId="3" borderId="0" xfId="2" applyNumberFormat="1" applyFont="1" applyFill="1"/>
    <xf numFmtId="0" fontId="8" fillId="0" borderId="0" xfId="0" applyFont="1" applyAlignment="1">
      <alignment wrapText="1"/>
    </xf>
    <xf numFmtId="0" fontId="8" fillId="0" borderId="0" xfId="0" applyFont="1" applyAlignment="1">
      <alignment horizontal="left" indent="3"/>
    </xf>
    <xf numFmtId="0" fontId="27" fillId="0" borderId="0" xfId="0" applyFont="1" applyFill="1"/>
  </cellXfs>
  <cellStyles count="4">
    <cellStyle name="Fill-in" xfId="3" xr:uid="{EB8F95DB-09BC-41D3-87F9-F1908AC4FCB9}"/>
    <cellStyle name="Normal" xfId="0" builtinId="0"/>
    <cellStyle name="Normal 2" xfId="1" xr:uid="{7AA54F30-8F34-48D6-82AD-B3FFBE5B8701}"/>
    <cellStyle name="Percent" xfId="2" builtinId="5"/>
  </cellStyles>
  <dxfs count="8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1"/>
                </a:solidFill>
                <a:latin typeface="Arial Black" panose="020B0A04020102020204" pitchFamily="34" charset="0"/>
                <a:ea typeface="+mn-ea"/>
                <a:cs typeface="+mn-cs"/>
              </a:defRPr>
            </a:pPr>
            <a:r>
              <a:rPr lang="en-US">
                <a:solidFill>
                  <a:schemeClr val="accent1"/>
                </a:solidFill>
                <a:latin typeface="Arial Black" panose="020B0A04020102020204" pitchFamily="34" charset="0"/>
              </a:rPr>
              <a:t>Public</a:t>
            </a:r>
            <a:r>
              <a:rPr lang="en-US" baseline="0">
                <a:solidFill>
                  <a:schemeClr val="accent1"/>
                </a:solidFill>
                <a:latin typeface="Arial Black" panose="020B0A04020102020204" pitchFamily="34" charset="0"/>
              </a:rPr>
              <a:t> Investment MTEF</a:t>
            </a:r>
            <a:endParaRPr lang="en-US">
              <a:solidFill>
                <a:schemeClr val="accent1"/>
              </a:solidFill>
              <a:latin typeface="Arial Black" panose="020B0A040201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accent1"/>
              </a:solidFill>
              <a:latin typeface="Arial Black" panose="020B0A04020102020204" pitchFamily="34" charset="0"/>
              <a:ea typeface="+mn-ea"/>
              <a:cs typeface="+mn-cs"/>
            </a:defRPr>
          </a:pPr>
          <a:endParaRPr lang="en-US"/>
        </a:p>
      </c:txPr>
    </c:title>
    <c:autoTitleDeleted val="0"/>
    <c:plotArea>
      <c:layout/>
      <c:barChart>
        <c:barDir val="col"/>
        <c:grouping val="stacked"/>
        <c:varyColors val="0"/>
        <c:ser>
          <c:idx val="0"/>
          <c:order val="0"/>
          <c:tx>
            <c:strRef>
              <c:f>'Simulation of 2017 MTEF'!$B$5</c:f>
              <c:strCache>
                <c:ptCount val="1"/>
                <c:pt idx="0">
                  <c:v>Ongoing</c:v>
                </c:pt>
              </c:strCache>
            </c:strRef>
          </c:tx>
          <c:spPr>
            <a:solidFill>
              <a:schemeClr val="accent1"/>
            </a:solidFill>
            <a:ln>
              <a:noFill/>
            </a:ln>
            <a:effectLst/>
          </c:spPr>
          <c:invertIfNegative val="0"/>
          <c:cat>
            <c:numRef>
              <c:f>'Simulation of 2017 MTEF'!$E$2:$J$2</c:f>
              <c:numCache>
                <c:formatCode>General</c:formatCode>
                <c:ptCount val="6"/>
                <c:pt idx="0">
                  <c:v>2016</c:v>
                </c:pt>
                <c:pt idx="1">
                  <c:v>2017</c:v>
                </c:pt>
                <c:pt idx="2">
                  <c:v>2018</c:v>
                </c:pt>
                <c:pt idx="3">
                  <c:v>2019</c:v>
                </c:pt>
                <c:pt idx="4">
                  <c:v>2020</c:v>
                </c:pt>
                <c:pt idx="5">
                  <c:v>2021</c:v>
                </c:pt>
              </c:numCache>
            </c:numRef>
          </c:cat>
          <c:val>
            <c:numRef>
              <c:f>'Simulation of 2017 MTEF'!$E$5:$J$5</c:f>
              <c:numCache>
                <c:formatCode>#,##0.0;\(#,##0.0\);\-\-</c:formatCode>
                <c:ptCount val="6"/>
                <c:pt idx="0">
                  <c:v>244.2</c:v>
                </c:pt>
                <c:pt idx="1">
                  <c:v>188.15</c:v>
                </c:pt>
                <c:pt idx="2">
                  <c:v>153.13999999999999</c:v>
                </c:pt>
                <c:pt idx="3">
                  <c:v>112.76</c:v>
                </c:pt>
                <c:pt idx="4">
                  <c:v>101.74</c:v>
                </c:pt>
                <c:pt idx="5">
                  <c:v>85.85</c:v>
                </c:pt>
              </c:numCache>
            </c:numRef>
          </c:val>
          <c:extLst>
            <c:ext xmlns:c16="http://schemas.microsoft.com/office/drawing/2014/chart" uri="{C3380CC4-5D6E-409C-BE32-E72D297353CC}">
              <c16:uniqueId val="{00000000-024B-4A64-95B9-9A2A3C516774}"/>
            </c:ext>
          </c:extLst>
        </c:ser>
        <c:ser>
          <c:idx val="1"/>
          <c:order val="1"/>
          <c:tx>
            <c:strRef>
              <c:f>'Simulation of 2017 MTEF'!$B$12</c:f>
              <c:strCache>
                <c:ptCount val="1"/>
                <c:pt idx="0">
                  <c:v>New</c:v>
                </c:pt>
              </c:strCache>
            </c:strRef>
          </c:tx>
          <c:spPr>
            <a:solidFill>
              <a:schemeClr val="accent2"/>
            </a:solidFill>
            <a:ln>
              <a:noFill/>
            </a:ln>
            <a:effectLst/>
          </c:spPr>
          <c:invertIfNegative val="0"/>
          <c:cat>
            <c:numRef>
              <c:f>'Simulation of 2017 MTEF'!$E$2:$J$2</c:f>
              <c:numCache>
                <c:formatCode>General</c:formatCode>
                <c:ptCount val="6"/>
                <c:pt idx="0">
                  <c:v>2016</c:v>
                </c:pt>
                <c:pt idx="1">
                  <c:v>2017</c:v>
                </c:pt>
                <c:pt idx="2">
                  <c:v>2018</c:v>
                </c:pt>
                <c:pt idx="3">
                  <c:v>2019</c:v>
                </c:pt>
                <c:pt idx="4">
                  <c:v>2020</c:v>
                </c:pt>
                <c:pt idx="5">
                  <c:v>2021</c:v>
                </c:pt>
              </c:numCache>
            </c:numRef>
          </c:cat>
          <c:val>
            <c:numRef>
              <c:f>'Simulation of 2017 MTEF'!$E$12:$J$12</c:f>
              <c:numCache>
                <c:formatCode>#,##0.0;\(#,##0.0\);\-\-</c:formatCode>
                <c:ptCount val="6"/>
                <c:pt idx="0" formatCode="#,##0.00">
                  <c:v>0</c:v>
                </c:pt>
                <c:pt idx="1">
                  <c:v>61.400000000000006</c:v>
                </c:pt>
                <c:pt idx="2">
                  <c:v>134.45000000000002</c:v>
                </c:pt>
                <c:pt idx="3">
                  <c:v>185.57</c:v>
                </c:pt>
                <c:pt idx="4">
                  <c:v>82.64</c:v>
                </c:pt>
                <c:pt idx="5">
                  <c:v>57.1</c:v>
                </c:pt>
              </c:numCache>
            </c:numRef>
          </c:val>
          <c:extLst>
            <c:ext xmlns:c16="http://schemas.microsoft.com/office/drawing/2014/chart" uri="{C3380CC4-5D6E-409C-BE32-E72D297353CC}">
              <c16:uniqueId val="{00000001-024B-4A64-95B9-9A2A3C516774}"/>
            </c:ext>
          </c:extLst>
        </c:ser>
        <c:dLbls>
          <c:showLegendKey val="0"/>
          <c:showVal val="0"/>
          <c:showCatName val="0"/>
          <c:showSerName val="0"/>
          <c:showPercent val="0"/>
          <c:showBubbleSize val="0"/>
        </c:dLbls>
        <c:gapWidth val="150"/>
        <c:overlap val="100"/>
        <c:axId val="351823888"/>
        <c:axId val="1034139552"/>
      </c:barChart>
      <c:lineChart>
        <c:grouping val="standard"/>
        <c:varyColors val="0"/>
        <c:ser>
          <c:idx val="2"/>
          <c:order val="2"/>
          <c:tx>
            <c:strRef>
              <c:f>'Simulation of 2017 MTEF'!$B$3</c:f>
              <c:strCache>
                <c:ptCount val="1"/>
                <c:pt idx="0">
                  <c:v>MTEF Ceiling</c:v>
                </c:pt>
              </c:strCache>
            </c:strRef>
          </c:tx>
          <c:spPr>
            <a:ln w="28575" cap="rnd">
              <a:noFill/>
              <a:round/>
            </a:ln>
            <a:effectLst/>
          </c:spPr>
          <c:marker>
            <c:symbol val="dash"/>
            <c:size val="18"/>
            <c:spPr>
              <a:solidFill>
                <a:srgbClr val="C00000">
                  <a:alpha val="99000"/>
                </a:srgbClr>
              </a:solidFill>
              <a:ln w="0" cmpd="sng">
                <a:solidFill>
                  <a:srgbClr val="C00000"/>
                </a:solidFill>
              </a:ln>
              <a:effectLst/>
            </c:spPr>
          </c:marker>
          <c:cat>
            <c:numRef>
              <c:f>'Simulation of 2017 MTEF'!$F$2:$J$2</c:f>
              <c:numCache>
                <c:formatCode>General</c:formatCode>
                <c:ptCount val="5"/>
                <c:pt idx="0">
                  <c:v>2017</c:v>
                </c:pt>
                <c:pt idx="1">
                  <c:v>2018</c:v>
                </c:pt>
                <c:pt idx="2">
                  <c:v>2019</c:v>
                </c:pt>
                <c:pt idx="3">
                  <c:v>2020</c:v>
                </c:pt>
                <c:pt idx="4">
                  <c:v>2021</c:v>
                </c:pt>
              </c:numCache>
            </c:numRef>
          </c:cat>
          <c:val>
            <c:numRef>
              <c:f>'Simulation of 2017 MTEF'!$E$3:$J$3</c:f>
              <c:numCache>
                <c:formatCode>#,##0.0;\(#,##0.0\);\-\-</c:formatCode>
                <c:ptCount val="6"/>
                <c:pt idx="0">
                  <c:v>244.2</c:v>
                </c:pt>
                <c:pt idx="1">
                  <c:v>255.34157949263241</c:v>
                </c:pt>
                <c:pt idx="2">
                  <c:v>285.18408173146395</c:v>
                </c:pt>
                <c:pt idx="3">
                  <c:v>311.55716229963207</c:v>
                </c:pt>
                <c:pt idx="4">
                  <c:v>342.24346096018985</c:v>
                </c:pt>
                <c:pt idx="5">
                  <c:v>434.26742403946156</c:v>
                </c:pt>
              </c:numCache>
            </c:numRef>
          </c:val>
          <c:smooth val="0"/>
          <c:extLst>
            <c:ext xmlns:c16="http://schemas.microsoft.com/office/drawing/2014/chart" uri="{C3380CC4-5D6E-409C-BE32-E72D297353CC}">
              <c16:uniqueId val="{00000002-024B-4A64-95B9-9A2A3C516774}"/>
            </c:ext>
          </c:extLst>
        </c:ser>
        <c:dLbls>
          <c:showLegendKey val="0"/>
          <c:showVal val="0"/>
          <c:showCatName val="0"/>
          <c:showSerName val="0"/>
          <c:showPercent val="0"/>
          <c:showBubbleSize val="0"/>
        </c:dLbls>
        <c:marker val="1"/>
        <c:smooth val="0"/>
        <c:axId val="351823888"/>
        <c:axId val="1034139552"/>
      </c:lineChart>
      <c:catAx>
        <c:axId val="35182388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034139552"/>
        <c:crosses val="autoZero"/>
        <c:auto val="1"/>
        <c:lblAlgn val="ctr"/>
        <c:lblOffset val="100"/>
        <c:noMultiLvlLbl val="0"/>
      </c:catAx>
      <c:valAx>
        <c:axId val="1034139552"/>
        <c:scaling>
          <c:orientation val="minMax"/>
          <c:max val="450"/>
        </c:scaling>
        <c:delete val="0"/>
        <c:axPos val="l"/>
        <c:majorGridlines>
          <c:spPr>
            <a:ln w="9525" cap="flat" cmpd="sng" algn="ctr">
              <a:solidFill>
                <a:schemeClr val="tx1">
                  <a:lumMod val="15000"/>
                  <a:lumOff val="85000"/>
                </a:schemeClr>
              </a:solidFill>
              <a:prstDash val="sysDot"/>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51823888"/>
        <c:crosses val="autoZero"/>
        <c:crossBetween val="between"/>
        <c:majorUnit val="90"/>
      </c:valAx>
      <c:spPr>
        <a:noFill/>
        <a:ln>
          <a:solidFill>
            <a:schemeClr val="tx1"/>
          </a:solidFill>
        </a:ln>
        <a:effectLst/>
      </c:spPr>
    </c:plotArea>
    <c:legend>
      <c:legendPos val="b"/>
      <c:layout>
        <c:manualLayout>
          <c:xMode val="edge"/>
          <c:yMode val="edge"/>
          <c:x val="0.3194378827646544"/>
          <c:y val="0.9092257217847769"/>
          <c:w val="0.4598894235442792"/>
          <c:h val="6.6964754405699295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1"/>
                </a:solidFill>
                <a:latin typeface="Arial Black" panose="020B0A04020102020204" pitchFamily="34" charset="0"/>
                <a:ea typeface="+mn-ea"/>
                <a:cs typeface="+mn-cs"/>
              </a:defRPr>
            </a:pPr>
            <a:r>
              <a:rPr lang="en-US">
                <a:solidFill>
                  <a:schemeClr val="accent1"/>
                </a:solidFill>
                <a:latin typeface="Arial Black" panose="020B0A04020102020204" pitchFamily="34" charset="0"/>
              </a:rPr>
              <a:t>Public</a:t>
            </a:r>
            <a:r>
              <a:rPr lang="en-US" baseline="0">
                <a:solidFill>
                  <a:schemeClr val="accent1"/>
                </a:solidFill>
                <a:latin typeface="Arial Black" panose="020B0A04020102020204" pitchFamily="34" charset="0"/>
              </a:rPr>
              <a:t> Debt</a:t>
            </a:r>
            <a:endParaRPr lang="en-US">
              <a:solidFill>
                <a:schemeClr val="accent1"/>
              </a:solidFill>
              <a:latin typeface="Arial Black" panose="020B0A040201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accent1"/>
              </a:solidFill>
              <a:latin typeface="Arial Black" panose="020B0A04020102020204" pitchFamily="34" charset="0"/>
              <a:ea typeface="+mn-ea"/>
              <a:cs typeface="+mn-cs"/>
            </a:defRPr>
          </a:pPr>
          <a:endParaRPr lang="en-US"/>
        </a:p>
      </c:txPr>
    </c:title>
    <c:autoTitleDeleted val="0"/>
    <c:plotArea>
      <c:layout/>
      <c:barChart>
        <c:barDir val="col"/>
        <c:grouping val="stacked"/>
        <c:varyColors val="0"/>
        <c:ser>
          <c:idx val="0"/>
          <c:order val="0"/>
          <c:tx>
            <c:strRef>
              <c:f>'Simulation of 2017 MTEF'!$B$24</c:f>
              <c:strCache>
                <c:ptCount val="1"/>
                <c:pt idx="0">
                  <c:v>Ongoing</c:v>
                </c:pt>
              </c:strCache>
            </c:strRef>
          </c:tx>
          <c:spPr>
            <a:solidFill>
              <a:schemeClr val="accent1"/>
            </a:solidFill>
            <a:ln>
              <a:noFill/>
            </a:ln>
            <a:effectLst/>
          </c:spPr>
          <c:invertIfNegative val="0"/>
          <c:cat>
            <c:strRef>
              <c:f>'Simulation of 2017 MTEF'!$D$23:$J$23</c:f>
              <c:strCache>
                <c:ptCount val="7"/>
                <c:pt idx="0">
                  <c:v>Previous Years</c:v>
                </c:pt>
                <c:pt idx="1">
                  <c:v>2016</c:v>
                </c:pt>
                <c:pt idx="2">
                  <c:v>2017</c:v>
                </c:pt>
                <c:pt idx="3">
                  <c:v>2018</c:v>
                </c:pt>
                <c:pt idx="4">
                  <c:v>2019</c:v>
                </c:pt>
                <c:pt idx="5">
                  <c:v>2020</c:v>
                </c:pt>
                <c:pt idx="6">
                  <c:v>2021</c:v>
                </c:pt>
              </c:strCache>
            </c:strRef>
          </c:cat>
          <c:val>
            <c:numRef>
              <c:f>'Simulation of 2017 MTEF'!$D$24:$J$24</c:f>
              <c:numCache>
                <c:formatCode>#,##0.0;\(#,##0.0\);\-\-</c:formatCode>
                <c:ptCount val="7"/>
                <c:pt idx="0">
                  <c:v>1116.718113207547</c:v>
                </c:pt>
                <c:pt idx="1">
                  <c:v>1195.7276418365877</c:v>
                </c:pt>
                <c:pt idx="2">
                  <c:v>1221.0122272507647</c:v>
                </c:pt>
                <c:pt idx="3">
                  <c:v>1247.515701393444</c:v>
                </c:pt>
                <c:pt idx="4">
                  <c:v>1265.974696696404</c:v>
                </c:pt>
                <c:pt idx="5">
                  <c:v>1295.2000661392321</c:v>
                </c:pt>
                <c:pt idx="6">
                  <c:v>1327.0082026812074</c:v>
                </c:pt>
              </c:numCache>
            </c:numRef>
          </c:val>
          <c:extLst>
            <c:ext xmlns:c16="http://schemas.microsoft.com/office/drawing/2014/chart" uri="{C3380CC4-5D6E-409C-BE32-E72D297353CC}">
              <c16:uniqueId val="{00000000-551A-4C76-9982-F1296B93C578}"/>
            </c:ext>
          </c:extLst>
        </c:ser>
        <c:ser>
          <c:idx val="1"/>
          <c:order val="1"/>
          <c:tx>
            <c:strRef>
              <c:f>'Simulation of 2017 MTEF'!$B$31</c:f>
              <c:strCache>
                <c:ptCount val="1"/>
                <c:pt idx="0">
                  <c:v>New</c:v>
                </c:pt>
              </c:strCache>
            </c:strRef>
          </c:tx>
          <c:spPr>
            <a:solidFill>
              <a:schemeClr val="accent2"/>
            </a:solidFill>
            <a:ln>
              <a:noFill/>
            </a:ln>
            <a:effectLst/>
          </c:spPr>
          <c:invertIfNegative val="0"/>
          <c:cat>
            <c:strRef>
              <c:f>'Simulation of 2017 MTEF'!$D$23:$J$23</c:f>
              <c:strCache>
                <c:ptCount val="7"/>
                <c:pt idx="0">
                  <c:v>Previous Years</c:v>
                </c:pt>
                <c:pt idx="1">
                  <c:v>2016</c:v>
                </c:pt>
                <c:pt idx="2">
                  <c:v>2017</c:v>
                </c:pt>
                <c:pt idx="3">
                  <c:v>2018</c:v>
                </c:pt>
                <c:pt idx="4">
                  <c:v>2019</c:v>
                </c:pt>
                <c:pt idx="5">
                  <c:v>2020</c:v>
                </c:pt>
                <c:pt idx="6">
                  <c:v>2021</c:v>
                </c:pt>
              </c:strCache>
            </c:strRef>
          </c:cat>
          <c:val>
            <c:numRef>
              <c:f>'Simulation of 2017 MTEF'!$D$31:$J$31</c:f>
              <c:numCache>
                <c:formatCode>#,##0.0;\(#,##0.0\);\-\-</c:formatCode>
                <c:ptCount val="7"/>
                <c:pt idx="0">
                  <c:v>0</c:v>
                </c:pt>
                <c:pt idx="1">
                  <c:v>0</c:v>
                </c:pt>
                <c:pt idx="2">
                  <c:v>9.9390111679286726</c:v>
                </c:pt>
                <c:pt idx="3">
                  <c:v>35.884781507838582</c:v>
                </c:pt>
                <c:pt idx="4">
                  <c:v>68.489348025735751</c:v>
                </c:pt>
                <c:pt idx="5">
                  <c:v>92.228138381105708</c:v>
                </c:pt>
                <c:pt idx="6">
                  <c:v>113.38416163732904</c:v>
                </c:pt>
              </c:numCache>
            </c:numRef>
          </c:val>
          <c:extLst>
            <c:ext xmlns:c16="http://schemas.microsoft.com/office/drawing/2014/chart" uri="{C3380CC4-5D6E-409C-BE32-E72D297353CC}">
              <c16:uniqueId val="{00000001-551A-4C76-9982-F1296B93C578}"/>
            </c:ext>
          </c:extLst>
        </c:ser>
        <c:dLbls>
          <c:showLegendKey val="0"/>
          <c:showVal val="0"/>
          <c:showCatName val="0"/>
          <c:showSerName val="0"/>
          <c:showPercent val="0"/>
          <c:showBubbleSize val="0"/>
        </c:dLbls>
        <c:gapWidth val="150"/>
        <c:overlap val="100"/>
        <c:axId val="351823888"/>
        <c:axId val="1034139552"/>
      </c:barChart>
      <c:lineChart>
        <c:grouping val="standard"/>
        <c:varyColors val="0"/>
        <c:ser>
          <c:idx val="2"/>
          <c:order val="2"/>
          <c:tx>
            <c:v>Debt stock</c:v>
          </c:tx>
          <c:spPr>
            <a:ln w="25400" cap="rnd">
              <a:noFill/>
              <a:round/>
            </a:ln>
            <a:effectLst/>
          </c:spPr>
          <c:marker>
            <c:symbol val="dash"/>
            <c:size val="18"/>
            <c:spPr>
              <a:solidFill>
                <a:srgbClr val="C00000">
                  <a:alpha val="99000"/>
                </a:srgbClr>
              </a:solidFill>
              <a:ln w="0" cmpd="sng">
                <a:solidFill>
                  <a:srgbClr val="C00000"/>
                </a:solidFill>
              </a:ln>
              <a:effectLst/>
            </c:spPr>
          </c:marker>
          <c:cat>
            <c:strRef>
              <c:f>'Simulation of 2017 MTEF'!$D$23:$J$23</c:f>
              <c:strCache>
                <c:ptCount val="7"/>
                <c:pt idx="0">
                  <c:v>Previous Years</c:v>
                </c:pt>
                <c:pt idx="1">
                  <c:v>2016</c:v>
                </c:pt>
                <c:pt idx="2">
                  <c:v>2017</c:v>
                </c:pt>
                <c:pt idx="3">
                  <c:v>2018</c:v>
                </c:pt>
                <c:pt idx="4">
                  <c:v>2019</c:v>
                </c:pt>
                <c:pt idx="5">
                  <c:v>2020</c:v>
                </c:pt>
                <c:pt idx="6">
                  <c:v>2021</c:v>
                </c:pt>
              </c:strCache>
            </c:strRef>
          </c:cat>
          <c:val>
            <c:numRef>
              <c:f>'Simulation of 2017 MTEF'!$D$73:$J$73</c:f>
              <c:numCache>
                <c:formatCode>#,##0.00</c:formatCode>
                <c:ptCount val="7"/>
                <c:pt idx="0">
                  <c:v>1276.8768370267835</c:v>
                </c:pt>
                <c:pt idx="1">
                  <c:v>1355.8863656558244</c:v>
                </c:pt>
                <c:pt idx="2">
                  <c:v>1391.1099622379299</c:v>
                </c:pt>
                <c:pt idx="3">
                  <c:v>1443.5592067205191</c:v>
                </c:pt>
                <c:pt idx="4">
                  <c:v>1494.6227685413762</c:v>
                </c:pt>
                <c:pt idx="5">
                  <c:v>1547.5869283395746</c:v>
                </c:pt>
                <c:pt idx="6">
                  <c:v>1596.273620787287</c:v>
                </c:pt>
              </c:numCache>
            </c:numRef>
          </c:val>
          <c:smooth val="0"/>
          <c:extLst>
            <c:ext xmlns:c16="http://schemas.microsoft.com/office/drawing/2014/chart" uri="{C3380CC4-5D6E-409C-BE32-E72D297353CC}">
              <c16:uniqueId val="{00000002-551A-4C76-9982-F1296B93C578}"/>
            </c:ext>
          </c:extLst>
        </c:ser>
        <c:dLbls>
          <c:showLegendKey val="0"/>
          <c:showVal val="0"/>
          <c:showCatName val="0"/>
          <c:showSerName val="0"/>
          <c:showPercent val="0"/>
          <c:showBubbleSize val="0"/>
        </c:dLbls>
        <c:marker val="1"/>
        <c:smooth val="0"/>
        <c:axId val="351823888"/>
        <c:axId val="1034139552"/>
      </c:lineChart>
      <c:catAx>
        <c:axId val="35182388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034139552"/>
        <c:crosses val="autoZero"/>
        <c:auto val="1"/>
        <c:lblAlgn val="ctr"/>
        <c:lblOffset val="100"/>
        <c:noMultiLvlLbl val="0"/>
      </c:catAx>
      <c:valAx>
        <c:axId val="1034139552"/>
        <c:scaling>
          <c:orientation val="minMax"/>
        </c:scaling>
        <c:delete val="0"/>
        <c:axPos val="l"/>
        <c:majorGridlines>
          <c:spPr>
            <a:ln w="9525" cap="flat" cmpd="sng" algn="ctr">
              <a:solidFill>
                <a:schemeClr val="tx1">
                  <a:lumMod val="15000"/>
                  <a:lumOff val="85000"/>
                </a:schemeClr>
              </a:solidFill>
              <a:prstDash val="sysDot"/>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51823888"/>
        <c:crosses val="autoZero"/>
        <c:crossBetween val="between"/>
      </c:valAx>
      <c:spPr>
        <a:noFill/>
        <a:ln>
          <a:solidFill>
            <a:schemeClr val="tx1"/>
          </a:solidFill>
        </a:ln>
        <a:effectLst/>
      </c:spPr>
    </c:plotArea>
    <c:legend>
      <c:legendPos val="b"/>
      <c:layout>
        <c:manualLayout>
          <c:xMode val="edge"/>
          <c:yMode val="edge"/>
          <c:x val="0.3194378827646544"/>
          <c:y val="0.9092257217847769"/>
          <c:w val="0.4598894235442792"/>
          <c:h val="6.6964754405699295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152400</xdr:colOff>
      <xdr:row>0</xdr:row>
      <xdr:rowOff>206828</xdr:rowOff>
    </xdr:from>
    <xdr:to>
      <xdr:col>3</xdr:col>
      <xdr:colOff>48986</xdr:colOff>
      <xdr:row>0</xdr:row>
      <xdr:rowOff>555171</xdr:rowOff>
    </xdr:to>
    <xdr:sp macro="" textlink="" fLocksText="0">
      <xdr:nvSpPr>
        <xdr:cNvPr id="2" name="Rectangle 1" hidden="1">
          <a:extLst>
            <a:ext uri="{FF2B5EF4-FFF2-40B4-BE49-F238E27FC236}">
              <a16:creationId xmlns:a16="http://schemas.microsoft.com/office/drawing/2014/main" id="{346D3574-4542-442E-88A8-7B27D0B213FF}"/>
            </a:ext>
          </a:extLst>
        </xdr:cNvPr>
        <xdr:cNvSpPr/>
      </xdr:nvSpPr>
      <xdr:spPr>
        <a:xfrm>
          <a:off x="4564380" y="206828"/>
          <a:ext cx="2495006" cy="348343"/>
        </a:xfrm>
        <a:prstGeom prst="rect">
          <a:avLst/>
        </a:prstGeom>
        <a:solidFill>
          <a:srgbClr val="FF99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vert="horz" wrap="square" lIns="91440" tIns="45720" rIns="91440" bIns="45720" fromWordArt="0" anchor="ctr" anchorCtr="0">
          <a:prstTxWarp prst="textNoShape">
            <a:avLst/>
          </a:prstTxWarp>
          <a:noAutofit/>
        </a:bodyPr>
        <a:lstStyle/>
        <a:p>
          <a:pPr marL="0" indent="0" algn="ctr"/>
          <a:r>
            <a:rPr lang="en-US" sz="1600" b="1">
              <a:solidFill>
                <a:schemeClr val="accent2">
                  <a:lumMod val="50000"/>
                </a:schemeClr>
              </a:solidFill>
              <a:latin typeface="+mn-lt"/>
              <a:ea typeface="+mn-ea"/>
              <a:cs typeface="+mn-cs"/>
            </a:rPr>
            <a:t>Continue &gt;&gt;</a:t>
          </a:r>
        </a:p>
      </xdr:txBody>
    </xdr:sp>
    <xdr:clientData/>
  </xdr:twoCellAnchor>
  <xdr:twoCellAnchor>
    <xdr:from>
      <xdr:col>3</xdr:col>
      <xdr:colOff>348341</xdr:colOff>
      <xdr:row>0</xdr:row>
      <xdr:rowOff>65314</xdr:rowOff>
    </xdr:from>
    <xdr:to>
      <xdr:col>8</xdr:col>
      <xdr:colOff>228599</xdr:colOff>
      <xdr:row>0</xdr:row>
      <xdr:rowOff>674914</xdr:rowOff>
    </xdr:to>
    <xdr:sp macro="" textlink="">
      <xdr:nvSpPr>
        <xdr:cNvPr id="3" name="PASTE_B" hidden="1">
          <a:extLst>
            <a:ext uri="{FF2B5EF4-FFF2-40B4-BE49-F238E27FC236}">
              <a16:creationId xmlns:a16="http://schemas.microsoft.com/office/drawing/2014/main" id="{F2B5B4E3-EF14-433D-A20A-C45FC0163EF0}"/>
            </a:ext>
          </a:extLst>
        </xdr:cNvPr>
        <xdr:cNvSpPr/>
      </xdr:nvSpPr>
      <xdr:spPr>
        <a:xfrm flipH="1">
          <a:off x="7358741" y="65314"/>
          <a:ext cx="4680858" cy="609600"/>
        </a:xfrm>
        <a:prstGeom prst="stripedRightArrow">
          <a:avLst>
            <a:gd name="adj1" fmla="val 100000"/>
            <a:gd name="adj2" fmla="val 0"/>
          </a:avLst>
        </a:prstGeom>
        <a:solidFill>
          <a:schemeClr val="accent3">
            <a:lumMod val="75000"/>
          </a:schemeClr>
        </a:solidFill>
        <a:ln>
          <a:noFill/>
        </a:ln>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r"/>
          <a:r>
            <a:rPr lang="en-US" sz="1000" b="0">
              <a:solidFill>
                <a:schemeClr val="bg1"/>
              </a:solidFill>
              <a:effectLst/>
              <a:latin typeface="+mn-lt"/>
              <a:ea typeface="+mn-ea"/>
              <a:cs typeface="+mn-cs"/>
            </a:rPr>
            <a:t>Select the</a:t>
          </a:r>
          <a:r>
            <a:rPr lang="en-US" sz="1000" b="0" baseline="0">
              <a:solidFill>
                <a:schemeClr val="bg1"/>
              </a:solidFill>
              <a:effectLst/>
              <a:latin typeface="+mn-lt"/>
              <a:ea typeface="+mn-ea"/>
              <a:cs typeface="+mn-cs"/>
            </a:rPr>
            <a:t> first year cell where you</a:t>
          </a:r>
        </a:p>
        <a:p>
          <a:pPr algn="r"/>
          <a:r>
            <a:rPr lang="en-US" sz="1000" b="0" baseline="0">
              <a:solidFill>
                <a:schemeClr val="bg1"/>
              </a:solidFill>
              <a:effectLst/>
              <a:latin typeface="+mn-lt"/>
              <a:ea typeface="+mn-ea"/>
              <a:cs typeface="+mn-cs"/>
            </a:rPr>
            <a:t>  want to paste the data, then  click </a:t>
          </a:r>
        </a:p>
        <a:p>
          <a:pPr algn="r"/>
          <a:r>
            <a:rPr lang="en-US" sz="1000" b="0" baseline="0">
              <a:solidFill>
                <a:schemeClr val="bg1"/>
              </a:solidFill>
              <a:effectLst/>
              <a:latin typeface="+mn-lt"/>
              <a:ea typeface="+mn-ea"/>
              <a:cs typeface="+mn-cs"/>
            </a:rPr>
            <a:t> on "paste" button to the left.</a:t>
          </a:r>
          <a:endParaRPr lang="en-US" sz="1000" b="0">
            <a:solidFill>
              <a:schemeClr val="bg1"/>
            </a:solidFill>
            <a:effectLst/>
          </a:endParaRPr>
        </a:p>
        <a:p>
          <a:pPr marL="0" indent="0" algn="r"/>
          <a:endParaRPr lang="en-US" sz="1000" b="0">
            <a:solidFill>
              <a:schemeClr val="bg1"/>
            </a:solidFill>
            <a:latin typeface="+mn-lt"/>
            <a:ea typeface="+mn-ea"/>
            <a:cs typeface="+mn-cs"/>
          </a:endParaRPr>
        </a:p>
      </xdr:txBody>
    </xdr:sp>
    <xdr:clientData/>
  </xdr:twoCellAnchor>
  <xdr:twoCellAnchor>
    <xdr:from>
      <xdr:col>3</xdr:col>
      <xdr:colOff>424544</xdr:colOff>
      <xdr:row>0</xdr:row>
      <xdr:rowOff>210094</xdr:rowOff>
    </xdr:from>
    <xdr:to>
      <xdr:col>4</xdr:col>
      <xdr:colOff>900249</xdr:colOff>
      <xdr:row>0</xdr:row>
      <xdr:rowOff>530134</xdr:rowOff>
    </xdr:to>
    <xdr:sp macro="" textlink="">
      <xdr:nvSpPr>
        <xdr:cNvPr id="4" name="PASTE" hidden="1">
          <a:extLst>
            <a:ext uri="{FF2B5EF4-FFF2-40B4-BE49-F238E27FC236}">
              <a16:creationId xmlns:a16="http://schemas.microsoft.com/office/drawing/2014/main" id="{C53A0633-6037-4720-BF0E-26B061CCE564}"/>
            </a:ext>
          </a:extLst>
        </xdr:cNvPr>
        <xdr:cNvSpPr/>
      </xdr:nvSpPr>
      <xdr:spPr>
        <a:xfrm>
          <a:off x="7434944" y="210094"/>
          <a:ext cx="1435825" cy="320040"/>
        </a:xfrm>
        <a:prstGeom prst="roundRect">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n-US" sz="1400" b="1"/>
            <a:t>PASTE</a:t>
          </a:r>
        </a:p>
      </xdr:txBody>
    </xdr:sp>
    <xdr:clientData/>
  </xdr:twoCellAnchor>
  <xdr:twoCellAnchor>
    <xdr:from>
      <xdr:col>1</xdr:col>
      <xdr:colOff>152400</xdr:colOff>
      <xdr:row>0</xdr:row>
      <xdr:rowOff>206828</xdr:rowOff>
    </xdr:from>
    <xdr:to>
      <xdr:col>3</xdr:col>
      <xdr:colOff>48986</xdr:colOff>
      <xdr:row>0</xdr:row>
      <xdr:rowOff>555171</xdr:rowOff>
    </xdr:to>
    <xdr:sp macro="" textlink="" fLocksText="0">
      <xdr:nvSpPr>
        <xdr:cNvPr id="5" name="Rectangle 4" hidden="1">
          <a:extLst>
            <a:ext uri="{FF2B5EF4-FFF2-40B4-BE49-F238E27FC236}">
              <a16:creationId xmlns:a16="http://schemas.microsoft.com/office/drawing/2014/main" id="{6B25B462-E289-4E24-9E0E-937996D46149}"/>
            </a:ext>
          </a:extLst>
        </xdr:cNvPr>
        <xdr:cNvSpPr/>
      </xdr:nvSpPr>
      <xdr:spPr>
        <a:xfrm>
          <a:off x="4438650" y="206828"/>
          <a:ext cx="2420711" cy="348343"/>
        </a:xfrm>
        <a:prstGeom prst="rect">
          <a:avLst/>
        </a:prstGeom>
        <a:solidFill>
          <a:srgbClr val="FF99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vert="horz" wrap="square" lIns="91440" tIns="45720" rIns="91440" bIns="45720" fromWordArt="0" anchor="ctr" anchorCtr="0">
          <a:prstTxWarp prst="textNoShape">
            <a:avLst/>
          </a:prstTxWarp>
          <a:noAutofit/>
        </a:bodyPr>
        <a:lstStyle/>
        <a:p>
          <a:pPr marL="0" indent="0" algn="ctr"/>
          <a:r>
            <a:rPr lang="en-US" sz="1600" b="1">
              <a:solidFill>
                <a:schemeClr val="accent2">
                  <a:lumMod val="50000"/>
                </a:schemeClr>
              </a:solidFill>
              <a:latin typeface="+mn-lt"/>
              <a:ea typeface="+mn-ea"/>
              <a:cs typeface="+mn-cs"/>
            </a:rPr>
            <a:t>Continue &gt;&gt;</a:t>
          </a:r>
        </a:p>
      </xdr:txBody>
    </xdr:sp>
    <xdr:clientData/>
  </xdr:twoCellAnchor>
  <xdr:twoCellAnchor>
    <xdr:from>
      <xdr:col>3</xdr:col>
      <xdr:colOff>348341</xdr:colOff>
      <xdr:row>0</xdr:row>
      <xdr:rowOff>65314</xdr:rowOff>
    </xdr:from>
    <xdr:to>
      <xdr:col>8</xdr:col>
      <xdr:colOff>228599</xdr:colOff>
      <xdr:row>0</xdr:row>
      <xdr:rowOff>674914</xdr:rowOff>
    </xdr:to>
    <xdr:sp macro="" textlink="">
      <xdr:nvSpPr>
        <xdr:cNvPr id="6" name="PASTE_B" hidden="1">
          <a:extLst>
            <a:ext uri="{FF2B5EF4-FFF2-40B4-BE49-F238E27FC236}">
              <a16:creationId xmlns:a16="http://schemas.microsoft.com/office/drawing/2014/main" id="{C1AD8834-B137-4BF6-9DD8-779FE98C8E38}"/>
            </a:ext>
          </a:extLst>
        </xdr:cNvPr>
        <xdr:cNvSpPr/>
      </xdr:nvSpPr>
      <xdr:spPr>
        <a:xfrm flipH="1">
          <a:off x="7158716" y="65314"/>
          <a:ext cx="4547508" cy="609600"/>
        </a:xfrm>
        <a:prstGeom prst="stripedRightArrow">
          <a:avLst>
            <a:gd name="adj1" fmla="val 100000"/>
            <a:gd name="adj2" fmla="val 0"/>
          </a:avLst>
        </a:prstGeom>
        <a:solidFill>
          <a:schemeClr val="accent3">
            <a:lumMod val="75000"/>
          </a:schemeClr>
        </a:solidFill>
        <a:ln>
          <a:noFill/>
        </a:ln>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r"/>
          <a:r>
            <a:rPr lang="en-US" sz="1000" b="0">
              <a:solidFill>
                <a:schemeClr val="bg1"/>
              </a:solidFill>
              <a:effectLst/>
              <a:latin typeface="+mn-lt"/>
              <a:ea typeface="+mn-ea"/>
              <a:cs typeface="+mn-cs"/>
            </a:rPr>
            <a:t>Select the</a:t>
          </a:r>
          <a:r>
            <a:rPr lang="en-US" sz="1000" b="0" baseline="0">
              <a:solidFill>
                <a:schemeClr val="bg1"/>
              </a:solidFill>
              <a:effectLst/>
              <a:latin typeface="+mn-lt"/>
              <a:ea typeface="+mn-ea"/>
              <a:cs typeface="+mn-cs"/>
            </a:rPr>
            <a:t> first year cell where you</a:t>
          </a:r>
        </a:p>
        <a:p>
          <a:pPr algn="r"/>
          <a:r>
            <a:rPr lang="en-US" sz="1000" b="0" baseline="0">
              <a:solidFill>
                <a:schemeClr val="bg1"/>
              </a:solidFill>
              <a:effectLst/>
              <a:latin typeface="+mn-lt"/>
              <a:ea typeface="+mn-ea"/>
              <a:cs typeface="+mn-cs"/>
            </a:rPr>
            <a:t>  want to paste the data, then  click </a:t>
          </a:r>
        </a:p>
        <a:p>
          <a:pPr algn="r"/>
          <a:r>
            <a:rPr lang="en-US" sz="1000" b="0" baseline="0">
              <a:solidFill>
                <a:schemeClr val="bg1"/>
              </a:solidFill>
              <a:effectLst/>
              <a:latin typeface="+mn-lt"/>
              <a:ea typeface="+mn-ea"/>
              <a:cs typeface="+mn-cs"/>
            </a:rPr>
            <a:t> on "paste" button to the left.</a:t>
          </a:r>
          <a:endParaRPr lang="en-US" sz="1000" b="0">
            <a:solidFill>
              <a:schemeClr val="bg1"/>
            </a:solidFill>
            <a:effectLst/>
          </a:endParaRPr>
        </a:p>
        <a:p>
          <a:pPr marL="0" indent="0" algn="r"/>
          <a:endParaRPr lang="en-US" sz="1000" b="0">
            <a:solidFill>
              <a:schemeClr val="bg1"/>
            </a:solidFill>
            <a:latin typeface="+mn-lt"/>
            <a:ea typeface="+mn-ea"/>
            <a:cs typeface="+mn-cs"/>
          </a:endParaRPr>
        </a:p>
      </xdr:txBody>
    </xdr:sp>
    <xdr:clientData/>
  </xdr:twoCellAnchor>
  <xdr:twoCellAnchor>
    <xdr:from>
      <xdr:col>3</xdr:col>
      <xdr:colOff>424544</xdr:colOff>
      <xdr:row>0</xdr:row>
      <xdr:rowOff>210094</xdr:rowOff>
    </xdr:from>
    <xdr:to>
      <xdr:col>4</xdr:col>
      <xdr:colOff>900249</xdr:colOff>
      <xdr:row>0</xdr:row>
      <xdr:rowOff>530134</xdr:rowOff>
    </xdr:to>
    <xdr:sp macro="" textlink="">
      <xdr:nvSpPr>
        <xdr:cNvPr id="7" name="PASTE" hidden="1">
          <a:extLst>
            <a:ext uri="{FF2B5EF4-FFF2-40B4-BE49-F238E27FC236}">
              <a16:creationId xmlns:a16="http://schemas.microsoft.com/office/drawing/2014/main" id="{38FD7F77-A5F4-4B5D-BE98-73C344F9A88E}"/>
            </a:ext>
          </a:extLst>
        </xdr:cNvPr>
        <xdr:cNvSpPr/>
      </xdr:nvSpPr>
      <xdr:spPr>
        <a:xfrm>
          <a:off x="7234919" y="210094"/>
          <a:ext cx="1409155" cy="320040"/>
        </a:xfrm>
        <a:prstGeom prst="roundRect">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n-US" sz="1400" b="1"/>
            <a:t>PASTE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304799</xdr:colOff>
      <xdr:row>1</xdr:row>
      <xdr:rowOff>14286</xdr:rowOff>
    </xdr:from>
    <xdr:to>
      <xdr:col>19</xdr:col>
      <xdr:colOff>587375</xdr:colOff>
      <xdr:row>19</xdr:row>
      <xdr:rowOff>127000</xdr:rowOff>
    </xdr:to>
    <xdr:graphicFrame macro="">
      <xdr:nvGraphicFramePr>
        <xdr:cNvPr id="2" name="Chart 1">
          <a:extLst>
            <a:ext uri="{FF2B5EF4-FFF2-40B4-BE49-F238E27FC236}">
              <a16:creationId xmlns:a16="http://schemas.microsoft.com/office/drawing/2014/main" id="{982B25B4-E4E1-410A-89D8-538BD17DF82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420688</xdr:colOff>
      <xdr:row>21</xdr:row>
      <xdr:rowOff>39686</xdr:rowOff>
    </xdr:from>
    <xdr:to>
      <xdr:col>19</xdr:col>
      <xdr:colOff>544514</xdr:colOff>
      <xdr:row>37</xdr:row>
      <xdr:rowOff>176211</xdr:rowOff>
    </xdr:to>
    <xdr:graphicFrame macro="">
      <xdr:nvGraphicFramePr>
        <xdr:cNvPr id="3" name="Chart 2">
          <a:extLst>
            <a:ext uri="{FF2B5EF4-FFF2-40B4-BE49-F238E27FC236}">
              <a16:creationId xmlns:a16="http://schemas.microsoft.com/office/drawing/2014/main" id="{736EB032-F68C-440F-A0C3-67BFCBFD0F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Rial/My%20Local%20Documents/1.%20My%20documents/CEF_2019/Exercises/PFRAM/8%20-project/PFRAM_Portfolio%20-%208%20project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WELCOME"/>
      <sheetName val="MacroParameters"/>
      <sheetName val="GovernmentStatements"/>
      <sheetName val="Template"/>
      <sheetName val="P1"/>
      <sheetName val="P2"/>
      <sheetName val="P3"/>
      <sheetName val="P4"/>
      <sheetName val="P5"/>
      <sheetName val="P6"/>
      <sheetName val="P7"/>
      <sheetName val="P8"/>
      <sheetName val="SummaryProjects"/>
      <sheetName val="SensitivityAnalysis"/>
      <sheetName val="MacroCharts"/>
      <sheetName val="Risk_P1"/>
      <sheetName val="Risk_P2"/>
      <sheetName val="Risk_P3"/>
      <sheetName val="Risk_P4"/>
      <sheetName val="Risk_P5"/>
      <sheetName val="Risk_P6"/>
      <sheetName val="Risk_P7"/>
      <sheetName val="Risk_P8"/>
      <sheetName val="TRisk"/>
    </sheetNames>
    <sheetDataSet>
      <sheetData sheetId="0">
        <row r="10">
          <cell r="F10">
            <v>2013</v>
          </cell>
        </row>
        <row r="11">
          <cell r="F11" t="str">
            <v>DOM</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9F96F-0BAE-417D-8D80-419110F0387B}">
  <dimension ref="B2:B19"/>
  <sheetViews>
    <sheetView zoomScaleNormal="100" workbookViewId="0">
      <selection activeCell="B4" sqref="B4"/>
    </sheetView>
  </sheetViews>
  <sheetFormatPr defaultRowHeight="14" x14ac:dyDescent="0.3"/>
  <cols>
    <col min="1" max="1" width="1.54296875" style="1" customWidth="1"/>
    <col min="2" max="2" width="155.81640625" style="1" customWidth="1"/>
    <col min="3" max="16384" width="8.7265625" style="1"/>
  </cols>
  <sheetData>
    <row r="2" spans="2:2" ht="18" x14ac:dyDescent="0.5">
      <c r="B2" s="137" t="s">
        <v>254</v>
      </c>
    </row>
    <row r="3" spans="2:2" ht="8" customHeight="1" x14ac:dyDescent="0.3"/>
    <row r="4" spans="2:2" ht="43" customHeight="1" x14ac:dyDescent="0.3">
      <c r="B4" s="140" t="s">
        <v>261</v>
      </c>
    </row>
    <row r="5" spans="2:2" ht="25" customHeight="1" x14ac:dyDescent="0.3">
      <c r="B5" s="140" t="s">
        <v>255</v>
      </c>
    </row>
    <row r="6" spans="2:2" ht="38.5" customHeight="1" x14ac:dyDescent="0.3">
      <c r="B6" s="140" t="s">
        <v>258</v>
      </c>
    </row>
    <row r="7" spans="2:2" ht="35.5" customHeight="1" x14ac:dyDescent="0.3">
      <c r="B7" s="140" t="s">
        <v>256</v>
      </c>
    </row>
    <row r="8" spans="2:2" ht="38.5" customHeight="1" x14ac:dyDescent="0.3">
      <c r="B8" s="140" t="s">
        <v>259</v>
      </c>
    </row>
    <row r="9" spans="2:2" ht="33.5" customHeight="1" x14ac:dyDescent="0.3">
      <c r="B9" s="140" t="s">
        <v>260</v>
      </c>
    </row>
    <row r="10" spans="2:2" x14ac:dyDescent="0.3">
      <c r="B10" s="140"/>
    </row>
    <row r="11" spans="2:2" ht="18" x14ac:dyDescent="0.5">
      <c r="B11" s="137" t="s">
        <v>257</v>
      </c>
    </row>
    <row r="12" spans="2:2" x14ac:dyDescent="0.3">
      <c r="B12" s="140"/>
    </row>
    <row r="13" spans="2:2" ht="28" x14ac:dyDescent="0.3">
      <c r="B13" s="140" t="s">
        <v>262</v>
      </c>
    </row>
    <row r="14" spans="2:2" ht="28" x14ac:dyDescent="0.3">
      <c r="B14" s="140" t="s">
        <v>263</v>
      </c>
    </row>
    <row r="15" spans="2:2" ht="33.5" customHeight="1" x14ac:dyDescent="0.3">
      <c r="B15" s="140" t="s">
        <v>264</v>
      </c>
    </row>
    <row r="16" spans="2:2" ht="19.5" customHeight="1" x14ac:dyDescent="0.3">
      <c r="B16" s="140" t="s">
        <v>265</v>
      </c>
    </row>
    <row r="17" spans="2:2" x14ac:dyDescent="0.3">
      <c r="B17" s="140" t="s">
        <v>266</v>
      </c>
    </row>
    <row r="18" spans="2:2" x14ac:dyDescent="0.3">
      <c r="B18" s="141" t="s">
        <v>268</v>
      </c>
    </row>
    <row r="19" spans="2:2" x14ac:dyDescent="0.3">
      <c r="B19" s="141" t="s">
        <v>267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8F60C-B41A-4D4F-92E9-CCB679B5CC64}">
  <dimension ref="A1:BG116"/>
  <sheetViews>
    <sheetView zoomScale="90" zoomScaleNormal="90" workbookViewId="0">
      <pane xSplit="2" ySplit="3" topLeftCell="C4" activePane="bottomRight" state="frozen"/>
      <selection pane="topRight" activeCell="C1" sqref="C1"/>
      <selection pane="bottomLeft" activeCell="A4" sqref="A4"/>
      <selection pane="bottomRight" activeCell="F15" sqref="F15"/>
    </sheetView>
  </sheetViews>
  <sheetFormatPr defaultColWidth="8.6328125" defaultRowHeight="14.5" x14ac:dyDescent="0.35"/>
  <cols>
    <col min="1" max="1" width="64.36328125" bestFit="1" customWidth="1"/>
    <col min="2" max="2" width="23.90625" customWidth="1"/>
    <col min="3" max="52" width="14" customWidth="1"/>
    <col min="54" max="54" width="21.453125" bestFit="1" customWidth="1"/>
  </cols>
  <sheetData>
    <row r="1" spans="1:59" s="25" customFormat="1" ht="56.15" customHeight="1" thickBot="1" x14ac:dyDescent="0.4">
      <c r="A1" s="24" t="s">
        <v>170</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B1" s="25">
        <v>10</v>
      </c>
      <c r="BC1" s="25">
        <v>1</v>
      </c>
    </row>
    <row r="2" spans="1:59" s="30" customFormat="1" ht="31.5" customHeight="1" x14ac:dyDescent="0.45">
      <c r="A2" s="26"/>
      <c r="B2" s="27" t="s">
        <v>171</v>
      </c>
      <c r="C2" s="27">
        <v>2013</v>
      </c>
      <c r="D2" s="27">
        <f>C2+1</f>
        <v>2014</v>
      </c>
      <c r="E2" s="27">
        <f t="shared" ref="E2:AZ2" si="0">D2+1</f>
        <v>2015</v>
      </c>
      <c r="F2" s="28">
        <f t="shared" si="0"/>
        <v>2016</v>
      </c>
      <c r="G2" s="29">
        <f t="shared" si="0"/>
        <v>2017</v>
      </c>
      <c r="H2" s="29">
        <f t="shared" si="0"/>
        <v>2018</v>
      </c>
      <c r="I2" s="29">
        <f t="shared" si="0"/>
        <v>2019</v>
      </c>
      <c r="J2" s="29">
        <f t="shared" si="0"/>
        <v>2020</v>
      </c>
      <c r="K2" s="27">
        <f t="shared" si="0"/>
        <v>2021</v>
      </c>
      <c r="L2" s="27">
        <f t="shared" si="0"/>
        <v>2022</v>
      </c>
      <c r="M2" s="27">
        <f t="shared" si="0"/>
        <v>2023</v>
      </c>
      <c r="N2" s="27">
        <f t="shared" si="0"/>
        <v>2024</v>
      </c>
      <c r="O2" s="27">
        <f t="shared" si="0"/>
        <v>2025</v>
      </c>
      <c r="P2" s="27">
        <f t="shared" si="0"/>
        <v>2026</v>
      </c>
      <c r="Q2" s="27">
        <f t="shared" si="0"/>
        <v>2027</v>
      </c>
      <c r="R2" s="27">
        <f t="shared" si="0"/>
        <v>2028</v>
      </c>
      <c r="S2" s="27">
        <f t="shared" si="0"/>
        <v>2029</v>
      </c>
      <c r="T2" s="27">
        <f t="shared" si="0"/>
        <v>2030</v>
      </c>
      <c r="U2" s="27">
        <f t="shared" si="0"/>
        <v>2031</v>
      </c>
      <c r="V2" s="27">
        <f t="shared" si="0"/>
        <v>2032</v>
      </c>
      <c r="W2" s="27">
        <f t="shared" si="0"/>
        <v>2033</v>
      </c>
      <c r="X2" s="27">
        <f t="shared" si="0"/>
        <v>2034</v>
      </c>
      <c r="Y2" s="27">
        <f t="shared" si="0"/>
        <v>2035</v>
      </c>
      <c r="Z2" s="27">
        <f t="shared" si="0"/>
        <v>2036</v>
      </c>
      <c r="AA2" s="27">
        <f t="shared" si="0"/>
        <v>2037</v>
      </c>
      <c r="AB2" s="27">
        <f t="shared" si="0"/>
        <v>2038</v>
      </c>
      <c r="AC2" s="27">
        <f t="shared" si="0"/>
        <v>2039</v>
      </c>
      <c r="AD2" s="27">
        <f t="shared" si="0"/>
        <v>2040</v>
      </c>
      <c r="AE2" s="27">
        <f t="shared" si="0"/>
        <v>2041</v>
      </c>
      <c r="AF2" s="27">
        <f t="shared" si="0"/>
        <v>2042</v>
      </c>
      <c r="AG2" s="27">
        <f t="shared" si="0"/>
        <v>2043</v>
      </c>
      <c r="AH2" s="27">
        <f t="shared" si="0"/>
        <v>2044</v>
      </c>
      <c r="AI2" s="27">
        <f t="shared" si="0"/>
        <v>2045</v>
      </c>
      <c r="AJ2" s="27">
        <f t="shared" si="0"/>
        <v>2046</v>
      </c>
      <c r="AK2" s="27">
        <f t="shared" si="0"/>
        <v>2047</v>
      </c>
      <c r="AL2" s="27">
        <f t="shared" si="0"/>
        <v>2048</v>
      </c>
      <c r="AM2" s="27">
        <f t="shared" si="0"/>
        <v>2049</v>
      </c>
      <c r="AN2" s="27">
        <f t="shared" si="0"/>
        <v>2050</v>
      </c>
      <c r="AO2" s="27">
        <f t="shared" si="0"/>
        <v>2051</v>
      </c>
      <c r="AP2" s="27">
        <f t="shared" si="0"/>
        <v>2052</v>
      </c>
      <c r="AQ2" s="27">
        <f t="shared" si="0"/>
        <v>2053</v>
      </c>
      <c r="AR2" s="27">
        <f t="shared" si="0"/>
        <v>2054</v>
      </c>
      <c r="AS2" s="27">
        <f t="shared" si="0"/>
        <v>2055</v>
      </c>
      <c r="AT2" s="27">
        <f t="shared" si="0"/>
        <v>2056</v>
      </c>
      <c r="AU2" s="27">
        <f t="shared" si="0"/>
        <v>2057</v>
      </c>
      <c r="AV2" s="27">
        <f t="shared" si="0"/>
        <v>2058</v>
      </c>
      <c r="AW2" s="27">
        <f t="shared" si="0"/>
        <v>2059</v>
      </c>
      <c r="AX2" s="27">
        <f t="shared" si="0"/>
        <v>2060</v>
      </c>
      <c r="AY2" s="27">
        <f t="shared" si="0"/>
        <v>2061</v>
      </c>
      <c r="AZ2" s="27">
        <f t="shared" si="0"/>
        <v>2062</v>
      </c>
      <c r="BE2" s="31"/>
      <c r="BF2" s="31"/>
      <c r="BG2" s="31"/>
    </row>
    <row r="3" spans="1:59" s="31" customFormat="1" ht="16.5" x14ac:dyDescent="0.45">
      <c r="A3" s="32" t="s">
        <v>172</v>
      </c>
      <c r="B3" s="33"/>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5"/>
    </row>
    <row r="4" spans="1:59" s="41" customFormat="1" ht="17.75" customHeight="1" x14ac:dyDescent="0.45">
      <c r="A4" s="36" t="s">
        <v>173</v>
      </c>
      <c r="B4" s="37"/>
      <c r="C4" s="38">
        <v>2117.3643117900001</v>
      </c>
      <c r="D4" s="39">
        <v>2392.02507492</v>
      </c>
      <c r="E4" s="39">
        <v>2736.2175679799998</v>
      </c>
      <c r="F4" s="39">
        <v>3051.9751263299995</v>
      </c>
      <c r="G4" s="39">
        <v>3546.4108262865602</v>
      </c>
      <c r="H4" s="39">
        <v>4016.6772074854071</v>
      </c>
      <c r="I4" s="39">
        <v>4525.1584938218175</v>
      </c>
      <c r="J4" s="39">
        <v>5055.2948443159539</v>
      </c>
      <c r="K4" s="39">
        <v>5627.9266334554295</v>
      </c>
      <c r="L4" s="39">
        <v>6218.8589299682499</v>
      </c>
      <c r="M4" s="39">
        <v>6822.0882461751698</v>
      </c>
      <c r="N4" s="39">
        <v>7422.4320118385849</v>
      </c>
      <c r="O4" s="39">
        <v>8053.3387328448644</v>
      </c>
      <c r="P4" s="39">
        <v>8721.7658476709876</v>
      </c>
      <c r="Q4" s="39">
        <v>9436.9506471800087</v>
      </c>
      <c r="R4" s="39">
        <v>10144.721945718509</v>
      </c>
      <c r="S4" s="39">
        <v>10895.431369701679</v>
      </c>
      <c r="T4" s="39">
        <v>11603.634408732287</v>
      </c>
      <c r="U4" s="39">
        <v>12357.870645299885</v>
      </c>
      <c r="V4" s="39">
        <v>13161.132237244377</v>
      </c>
      <c r="W4" s="39">
        <v>14016.605832665262</v>
      </c>
      <c r="X4" s="39">
        <v>14927.685211788503</v>
      </c>
      <c r="Y4" s="39">
        <v>15897.984750554755</v>
      </c>
      <c r="Z4" s="39">
        <v>16931.353759340815</v>
      </c>
      <c r="AA4" s="39">
        <v>18031.891753697968</v>
      </c>
      <c r="AB4" s="39">
        <v>19203.964717688334</v>
      </c>
      <c r="AC4" s="39">
        <v>20452.222424338073</v>
      </c>
      <c r="AD4" s="39">
        <v>21781.616881920047</v>
      </c>
      <c r="AE4" s="39">
        <v>23197.421979244849</v>
      </c>
      <c r="AF4" s="39">
        <v>24705.254407895762</v>
      </c>
      <c r="AG4" s="39"/>
      <c r="AH4" s="39"/>
      <c r="AI4" s="39"/>
      <c r="AJ4" s="39"/>
      <c r="AK4" s="39"/>
      <c r="AL4" s="39"/>
      <c r="AM4" s="39"/>
      <c r="AN4" s="39"/>
      <c r="AO4" s="39"/>
      <c r="AP4" s="39"/>
      <c r="AQ4" s="39"/>
      <c r="AR4" s="39"/>
      <c r="AS4" s="39"/>
      <c r="AT4" s="39"/>
      <c r="AU4" s="39"/>
      <c r="AV4" s="39"/>
      <c r="AW4" s="39"/>
      <c r="AX4" s="39"/>
      <c r="AY4" s="39"/>
      <c r="AZ4" s="40"/>
    </row>
    <row r="5" spans="1:59" s="41" customFormat="1" ht="16.5" x14ac:dyDescent="0.45">
      <c r="A5" s="36" t="s">
        <v>174</v>
      </c>
      <c r="B5" s="37"/>
      <c r="C5" s="42">
        <v>1602.1209051899998</v>
      </c>
      <c r="D5" s="42">
        <v>1684.8975370499998</v>
      </c>
      <c r="E5" s="42">
        <v>1787.4384910199999</v>
      </c>
      <c r="F5" s="42">
        <v>1844.34752151</v>
      </c>
      <c r="G5" s="42">
        <v>1938.6039124493027</v>
      </c>
      <c r="H5" s="42">
        <v>2006.1505104223868</v>
      </c>
      <c r="I5" s="42">
        <v>2076.2987149869</v>
      </c>
      <c r="J5" s="42">
        <v>2149.1925920881649</v>
      </c>
      <c r="K5" s="42">
        <v>2226.3629896300922</v>
      </c>
      <c r="L5" s="42">
        <v>2316.9759633080371</v>
      </c>
      <c r="M5" s="42">
        <v>2409.8866994366895</v>
      </c>
      <c r="N5" s="42">
        <v>2505.0772240644387</v>
      </c>
      <c r="O5" s="42">
        <v>2600.2701585788873</v>
      </c>
      <c r="P5" s="42">
        <v>2697.7802895255959</v>
      </c>
      <c r="Q5" s="42">
        <v>2798.4074943249011</v>
      </c>
      <c r="R5" s="42">
        <v>2901.3888901160572</v>
      </c>
      <c r="S5" s="42">
        <v>3006.4191679382584</v>
      </c>
      <c r="T5" s="42">
        <v>3111.6438388160973</v>
      </c>
      <c r="U5" s="42">
        <v>3220.5513731746605</v>
      </c>
      <c r="V5" s="42">
        <v>3333.2706712357735</v>
      </c>
      <c r="W5" s="42">
        <v>3449.9351447290255</v>
      </c>
      <c r="X5" s="42">
        <v>3570.682874794541</v>
      </c>
      <c r="Y5" s="42">
        <v>3695.6567754123498</v>
      </c>
      <c r="Z5" s="42">
        <v>3825.0047625517818</v>
      </c>
      <c r="AA5" s="42">
        <v>3958.879929241094</v>
      </c>
      <c r="AB5" s="42">
        <v>4097.440726764532</v>
      </c>
      <c r="AC5" s="42">
        <v>4240.8511522012905</v>
      </c>
      <c r="AD5" s="42">
        <v>4389.2809425283349</v>
      </c>
      <c r="AE5" s="42">
        <v>4542.905775516826</v>
      </c>
      <c r="AF5" s="42">
        <v>4701.9074776599145</v>
      </c>
      <c r="AG5" s="42"/>
      <c r="AH5" s="42"/>
      <c r="AI5" s="42"/>
      <c r="AJ5" s="42"/>
      <c r="AK5" s="42"/>
      <c r="AL5" s="42"/>
      <c r="AM5" s="42"/>
      <c r="AN5" s="42"/>
      <c r="AO5" s="42"/>
      <c r="AP5" s="42"/>
      <c r="AQ5" s="42"/>
      <c r="AR5" s="42"/>
      <c r="AS5" s="42"/>
      <c r="AT5" s="42"/>
      <c r="AU5" s="42"/>
      <c r="AV5" s="42"/>
      <c r="AW5" s="42"/>
      <c r="AX5" s="42"/>
      <c r="AY5" s="42"/>
      <c r="AZ5" s="43"/>
    </row>
    <row r="6" spans="1:59" s="41" customFormat="1" ht="16.5" x14ac:dyDescent="0.45">
      <c r="A6" s="36" t="s">
        <v>175</v>
      </c>
      <c r="B6" s="37"/>
      <c r="C6" s="42">
        <v>132.16008260867781</v>
      </c>
      <c r="D6" s="42">
        <v>141.96857804825765</v>
      </c>
      <c r="E6" s="42">
        <v>153.08037628856141</v>
      </c>
      <c r="F6" s="42">
        <v>165.47722653869988</v>
      </c>
      <c r="G6" s="42">
        <v>182.93632874215643</v>
      </c>
      <c r="H6" s="42">
        <v>200.21813850047133</v>
      </c>
      <c r="I6" s="42">
        <v>217.94351945405737</v>
      </c>
      <c r="J6" s="42">
        <v>235.21832631128729</v>
      </c>
      <c r="K6" s="42">
        <v>252.78567150411098</v>
      </c>
      <c r="L6" s="42">
        <v>268.40411935432178</v>
      </c>
      <c r="M6" s="42">
        <v>283.08750978914617</v>
      </c>
      <c r="N6" s="42">
        <v>296.29553694140554</v>
      </c>
      <c r="O6" s="42">
        <v>309.7116161670761</v>
      </c>
      <c r="P6" s="42">
        <v>323.29414969536708</v>
      </c>
      <c r="Q6" s="42">
        <v>337.22574951353238</v>
      </c>
      <c r="R6" s="42">
        <v>349.6505408246984</v>
      </c>
      <c r="S6" s="42">
        <v>362.40559819120455</v>
      </c>
      <c r="T6" s="42">
        <v>372.91010828370321</v>
      </c>
      <c r="U6" s="42">
        <v>383.71909692960764</v>
      </c>
      <c r="V6" s="42">
        <v>394.84138959423393</v>
      </c>
      <c r="W6" s="42">
        <v>406.2860675534871</v>
      </c>
      <c r="X6" s="42">
        <v>418.06247530866062</v>
      </c>
      <c r="Y6" s="42">
        <v>430.18022821615807</v>
      </c>
      <c r="Z6" s="42">
        <v>442.64922033836564</v>
      </c>
      <c r="AA6" s="42">
        <v>455.47963252208643</v>
      </c>
      <c r="AB6" s="42">
        <v>468.68194071113231</v>
      </c>
      <c r="AC6" s="42">
        <v>482.26692449986075</v>
      </c>
      <c r="AD6" s="42">
        <v>496.24567593463939</v>
      </c>
      <c r="AE6" s="42">
        <v>510.62960857042611</v>
      </c>
      <c r="AF6" s="42">
        <v>525.43046678985877</v>
      </c>
      <c r="AG6" s="42"/>
      <c r="AH6" s="42"/>
      <c r="AI6" s="42"/>
      <c r="AJ6" s="42"/>
      <c r="AK6" s="42"/>
      <c r="AL6" s="42"/>
      <c r="AM6" s="42"/>
      <c r="AN6" s="42"/>
      <c r="AO6" s="42"/>
      <c r="AP6" s="42"/>
      <c r="AQ6" s="42"/>
      <c r="AR6" s="42"/>
      <c r="AS6" s="42"/>
      <c r="AT6" s="42"/>
      <c r="AU6" s="42"/>
      <c r="AV6" s="42"/>
      <c r="AW6" s="42"/>
      <c r="AX6" s="42"/>
      <c r="AY6" s="42"/>
      <c r="AZ6" s="43"/>
    </row>
    <row r="7" spans="1:59" s="41" customFormat="1" ht="16.5" x14ac:dyDescent="0.45">
      <c r="A7" s="36" t="s">
        <v>176</v>
      </c>
      <c r="B7" s="37"/>
      <c r="C7" s="42">
        <v>205.664767437145</v>
      </c>
      <c r="D7" s="42">
        <v>236.38598489271629</v>
      </c>
      <c r="E7" s="42">
        <v>293.87888386653412</v>
      </c>
      <c r="F7" s="42">
        <v>326.29613729107803</v>
      </c>
      <c r="G7" s="42">
        <v>389.156769262355</v>
      </c>
      <c r="H7" s="42">
        <v>409.36708331121798</v>
      </c>
      <c r="I7" s="42">
        <v>434.10469736078232</v>
      </c>
      <c r="J7" s="42">
        <v>457.98099176096969</v>
      </c>
      <c r="K7" s="42">
        <v>483.28131291818784</v>
      </c>
      <c r="L7" s="42">
        <v>509.66255208595516</v>
      </c>
      <c r="M7" s="42">
        <v>509.66255208595516</v>
      </c>
      <c r="N7" s="42">
        <v>509.66255208595516</v>
      </c>
      <c r="O7" s="42">
        <v>509.66255208595516</v>
      </c>
      <c r="P7" s="42">
        <v>500</v>
      </c>
      <c r="Q7" s="42">
        <v>480</v>
      </c>
      <c r="R7" s="42">
        <v>479</v>
      </c>
      <c r="S7" s="42">
        <v>467.99999999999989</v>
      </c>
      <c r="T7" s="42">
        <v>462</v>
      </c>
      <c r="U7" s="42">
        <v>445</v>
      </c>
      <c r="V7" s="42">
        <v>430</v>
      </c>
      <c r="W7" s="42">
        <v>412</v>
      </c>
      <c r="X7" s="42">
        <v>385</v>
      </c>
      <c r="Y7" s="42">
        <v>375</v>
      </c>
      <c r="Z7" s="42">
        <v>365</v>
      </c>
      <c r="AA7" s="42">
        <v>350</v>
      </c>
      <c r="AB7" s="42">
        <v>350</v>
      </c>
      <c r="AC7" s="42">
        <v>350</v>
      </c>
      <c r="AD7" s="42">
        <v>350</v>
      </c>
      <c r="AE7" s="42">
        <v>350</v>
      </c>
      <c r="AF7" s="42">
        <v>350</v>
      </c>
      <c r="AG7" s="42"/>
      <c r="AH7" s="42"/>
      <c r="AI7" s="42"/>
      <c r="AJ7" s="42"/>
      <c r="AK7" s="42"/>
      <c r="AL7" s="42"/>
      <c r="AM7" s="42"/>
      <c r="AN7" s="42"/>
      <c r="AO7" s="42"/>
      <c r="AP7" s="42"/>
      <c r="AQ7" s="42"/>
      <c r="AR7" s="42"/>
      <c r="AS7" s="42"/>
      <c r="AT7" s="42"/>
      <c r="AU7" s="42"/>
      <c r="AV7" s="42"/>
      <c r="AW7" s="42"/>
      <c r="AX7" s="42"/>
      <c r="AY7" s="42"/>
      <c r="AZ7" s="43"/>
    </row>
    <row r="8" spans="1:59" s="41" customFormat="1" ht="16.5" x14ac:dyDescent="0.45">
      <c r="A8" s="36" t="s">
        <v>177</v>
      </c>
      <c r="B8" s="37"/>
      <c r="C8" s="42">
        <v>25.232189252600389</v>
      </c>
      <c r="D8" s="42">
        <v>18.730022444603474</v>
      </c>
      <c r="E8" s="42">
        <v>23.291015569280031</v>
      </c>
      <c r="F8" s="42">
        <v>-41.323804704292442</v>
      </c>
      <c r="G8" s="121">
        <f>G95</f>
        <v>-42.556929915438729</v>
      </c>
      <c r="H8" s="42">
        <f t="shared" ref="H8:AF8" si="1">H95</f>
        <v>-52.216803697310283</v>
      </c>
      <c r="I8" s="42">
        <f t="shared" si="1"/>
        <v>-49.77674343204</v>
      </c>
      <c r="J8" s="42">
        <f t="shared" si="1"/>
        <v>-50.552948443159544</v>
      </c>
      <c r="K8" s="42">
        <f t="shared" si="1"/>
        <v>-45.023413067643425</v>
      </c>
      <c r="L8" s="42">
        <f t="shared" si="1"/>
        <v>-43.532012509777758</v>
      </c>
      <c r="M8" s="42">
        <f t="shared" si="1"/>
        <v>-34.11044123087585</v>
      </c>
      <c r="N8" s="42">
        <f t="shared" si="1"/>
        <v>-37.112160059192924</v>
      </c>
      <c r="O8" s="42">
        <f t="shared" si="1"/>
        <v>-40.26669366422432</v>
      </c>
      <c r="P8" s="42">
        <f t="shared" si="1"/>
        <v>-43.608829238354936</v>
      </c>
      <c r="Q8" s="42">
        <f t="shared" si="1"/>
        <v>-47.184753235900047</v>
      </c>
      <c r="R8" s="42">
        <f t="shared" si="1"/>
        <v>-50.72360972859255</v>
      </c>
      <c r="S8" s="42">
        <f t="shared" si="1"/>
        <v>-54.477156848508393</v>
      </c>
      <c r="T8" s="42">
        <f t="shared" si="1"/>
        <v>-58.018172043661437</v>
      </c>
      <c r="U8" s="42">
        <f t="shared" si="1"/>
        <v>-61.789353226499429</v>
      </c>
      <c r="V8" s="42">
        <f t="shared" si="1"/>
        <v>-65.805661186221883</v>
      </c>
      <c r="W8" s="42">
        <f t="shared" si="1"/>
        <v>-70.083029163326316</v>
      </c>
      <c r="X8" s="42">
        <f t="shared" si="1"/>
        <v>-74.638426058942514</v>
      </c>
      <c r="Y8" s="42">
        <f t="shared" si="1"/>
        <v>-79.489923752773777</v>
      </c>
      <c r="Z8" s="42">
        <f t="shared" si="1"/>
        <v>-84.656768796704071</v>
      </c>
      <c r="AA8" s="42">
        <f t="shared" si="1"/>
        <v>-90.159458768489841</v>
      </c>
      <c r="AB8" s="42">
        <f t="shared" si="1"/>
        <v>-96.019823588441668</v>
      </c>
      <c r="AC8" s="42">
        <f t="shared" si="1"/>
        <v>-102.26111212169037</v>
      </c>
      <c r="AD8" s="42">
        <f t="shared" si="1"/>
        <v>-108.90808440960024</v>
      </c>
      <c r="AE8" s="42">
        <f t="shared" si="1"/>
        <v>-115.98710989622425</v>
      </c>
      <c r="AF8" s="42">
        <f t="shared" si="1"/>
        <v>-123.52627203947881</v>
      </c>
      <c r="AG8" s="42"/>
      <c r="AH8" s="42"/>
      <c r="AI8" s="42"/>
      <c r="AJ8" s="42"/>
      <c r="AK8" s="42"/>
      <c r="AL8" s="42"/>
      <c r="AM8" s="42"/>
      <c r="AN8" s="42"/>
      <c r="AO8" s="42"/>
      <c r="AP8" s="42"/>
      <c r="AQ8" s="42"/>
      <c r="AR8" s="42"/>
      <c r="AS8" s="42"/>
      <c r="AT8" s="42"/>
      <c r="AU8" s="42"/>
      <c r="AV8" s="42"/>
      <c r="AW8" s="42"/>
      <c r="AX8" s="42"/>
      <c r="AY8" s="42"/>
      <c r="AZ8" s="43"/>
    </row>
    <row r="9" spans="1:59" s="41" customFormat="1" ht="16.5" x14ac:dyDescent="0.45">
      <c r="A9" s="36" t="s">
        <v>178</v>
      </c>
      <c r="B9" s="37"/>
      <c r="C9" s="42">
        <v>-45.203623842434816</v>
      </c>
      <c r="D9" s="42">
        <v>-49.697714555396466</v>
      </c>
      <c r="E9" s="42">
        <v>-50.298778230719932</v>
      </c>
      <c r="F9" s="42">
        <v>-102.72034048334623</v>
      </c>
      <c r="G9" s="121">
        <f>G92</f>
        <v>-113.48514644116993</v>
      </c>
      <c r="H9" s="42">
        <f t="shared" ref="H9:AF9" si="2">H92</f>
        <v>-132.55034784701843</v>
      </c>
      <c r="I9" s="42">
        <f t="shared" si="2"/>
        <v>-140.27991330847635</v>
      </c>
      <c r="J9" s="42">
        <f t="shared" si="2"/>
        <v>-151.65884532947862</v>
      </c>
      <c r="K9" s="42">
        <f t="shared" si="2"/>
        <v>-157.581945736752</v>
      </c>
      <c r="L9" s="42">
        <f t="shared" si="2"/>
        <v>-167.90919110914277</v>
      </c>
      <c r="M9" s="42">
        <f t="shared" si="2"/>
        <v>-170.55220615437926</v>
      </c>
      <c r="N9" s="42">
        <f t="shared" si="2"/>
        <v>-185.56080029596464</v>
      </c>
      <c r="O9" s="42">
        <f t="shared" si="2"/>
        <v>-201.33346832112161</v>
      </c>
      <c r="P9" s="42">
        <f t="shared" si="2"/>
        <v>-218.0441461917747</v>
      </c>
      <c r="Q9" s="42">
        <f t="shared" si="2"/>
        <v>-235.92376617950023</v>
      </c>
      <c r="R9" s="42">
        <f t="shared" si="2"/>
        <v>-253.61804864296275</v>
      </c>
      <c r="S9" s="42">
        <f t="shared" si="2"/>
        <v>-272.385784242542</v>
      </c>
      <c r="T9" s="42">
        <f t="shared" si="2"/>
        <v>-290.09086021830717</v>
      </c>
      <c r="U9" s="42">
        <f t="shared" si="2"/>
        <v>-308.94676613249715</v>
      </c>
      <c r="V9" s="42">
        <f t="shared" si="2"/>
        <v>-329.02830593110946</v>
      </c>
      <c r="W9" s="42">
        <f t="shared" si="2"/>
        <v>-350.41514581663159</v>
      </c>
      <c r="X9" s="42">
        <f t="shared" si="2"/>
        <v>-373.19213029471257</v>
      </c>
      <c r="Y9" s="42">
        <f t="shared" si="2"/>
        <v>-397.4496187638689</v>
      </c>
      <c r="Z9" s="42">
        <f t="shared" si="2"/>
        <v>-423.2838439835204</v>
      </c>
      <c r="AA9" s="42">
        <f t="shared" si="2"/>
        <v>-450.79729384244922</v>
      </c>
      <c r="AB9" s="42">
        <f t="shared" si="2"/>
        <v>-480.09911794220835</v>
      </c>
      <c r="AC9" s="42">
        <f t="shared" si="2"/>
        <v>-511.30556060845186</v>
      </c>
      <c r="AD9" s="42">
        <f t="shared" si="2"/>
        <v>-544.54042204800123</v>
      </c>
      <c r="AE9" s="42">
        <f t="shared" si="2"/>
        <v>-579.93554948112126</v>
      </c>
      <c r="AF9" s="42">
        <f t="shared" si="2"/>
        <v>-617.63136019739409</v>
      </c>
      <c r="AG9" s="42"/>
      <c r="AH9" s="42"/>
      <c r="AI9" s="42"/>
      <c r="AJ9" s="42"/>
      <c r="AK9" s="42"/>
      <c r="AL9" s="42"/>
      <c r="AM9" s="42"/>
      <c r="AN9" s="42"/>
      <c r="AO9" s="42"/>
      <c r="AP9" s="42"/>
      <c r="AQ9" s="42"/>
      <c r="AR9" s="42"/>
      <c r="AS9" s="42"/>
      <c r="AT9" s="42"/>
      <c r="AU9" s="42"/>
      <c r="AV9" s="42"/>
      <c r="AW9" s="42"/>
      <c r="AX9" s="42"/>
      <c r="AY9" s="42"/>
      <c r="AZ9" s="43"/>
    </row>
    <row r="10" spans="1:59" s="41" customFormat="1" ht="16.5" x14ac:dyDescent="0.45">
      <c r="A10" s="36" t="s">
        <v>179</v>
      </c>
      <c r="B10" s="37"/>
      <c r="C10" s="42">
        <v>-37</v>
      </c>
      <c r="D10" s="42">
        <v>-25</v>
      </c>
      <c r="E10" s="42">
        <v>-42</v>
      </c>
      <c r="F10" s="42">
        <v>-89</v>
      </c>
      <c r="G10" s="42">
        <f>G9</f>
        <v>-113.48514644116993</v>
      </c>
      <c r="H10" s="42">
        <f t="shared" ref="H10:AF10" si="3">H9</f>
        <v>-132.55034784701843</v>
      </c>
      <c r="I10" s="42">
        <f t="shared" si="3"/>
        <v>-140.27991330847635</v>
      </c>
      <c r="J10" s="42">
        <f t="shared" si="3"/>
        <v>-151.65884532947862</v>
      </c>
      <c r="K10" s="42">
        <f t="shared" si="3"/>
        <v>-157.581945736752</v>
      </c>
      <c r="L10" s="42">
        <f t="shared" si="3"/>
        <v>-167.90919110914277</v>
      </c>
      <c r="M10" s="42">
        <f t="shared" si="3"/>
        <v>-170.55220615437926</v>
      </c>
      <c r="N10" s="42">
        <f t="shared" si="3"/>
        <v>-185.56080029596464</v>
      </c>
      <c r="O10" s="42">
        <f t="shared" si="3"/>
        <v>-201.33346832112161</v>
      </c>
      <c r="P10" s="42">
        <f t="shared" si="3"/>
        <v>-218.0441461917747</v>
      </c>
      <c r="Q10" s="42">
        <f t="shared" si="3"/>
        <v>-235.92376617950023</v>
      </c>
      <c r="R10" s="42">
        <f t="shared" si="3"/>
        <v>-253.61804864296275</v>
      </c>
      <c r="S10" s="42">
        <f t="shared" si="3"/>
        <v>-272.385784242542</v>
      </c>
      <c r="T10" s="42">
        <f t="shared" si="3"/>
        <v>-290.09086021830717</v>
      </c>
      <c r="U10" s="42">
        <f t="shared" si="3"/>
        <v>-308.94676613249715</v>
      </c>
      <c r="V10" s="42">
        <f t="shared" si="3"/>
        <v>-329.02830593110946</v>
      </c>
      <c r="W10" s="42">
        <f t="shared" si="3"/>
        <v>-350.41514581663159</v>
      </c>
      <c r="X10" s="42">
        <f t="shared" si="3"/>
        <v>-373.19213029471257</v>
      </c>
      <c r="Y10" s="42">
        <f t="shared" si="3"/>
        <v>-397.4496187638689</v>
      </c>
      <c r="Z10" s="42">
        <f t="shared" si="3"/>
        <v>-423.2838439835204</v>
      </c>
      <c r="AA10" s="42">
        <f t="shared" si="3"/>
        <v>-450.79729384244922</v>
      </c>
      <c r="AB10" s="42">
        <f t="shared" si="3"/>
        <v>-480.09911794220835</v>
      </c>
      <c r="AC10" s="42">
        <f t="shared" si="3"/>
        <v>-511.30556060845186</v>
      </c>
      <c r="AD10" s="42">
        <f t="shared" si="3"/>
        <v>-544.54042204800123</v>
      </c>
      <c r="AE10" s="42">
        <f t="shared" si="3"/>
        <v>-579.93554948112126</v>
      </c>
      <c r="AF10" s="42">
        <f t="shared" si="3"/>
        <v>-617.63136019739409</v>
      </c>
      <c r="AG10" s="42"/>
      <c r="AH10" s="42"/>
      <c r="AI10" s="42"/>
      <c r="AJ10" s="42"/>
      <c r="AK10" s="42"/>
      <c r="AL10" s="42"/>
      <c r="AM10" s="42"/>
      <c r="AN10" s="42"/>
      <c r="AO10" s="42"/>
      <c r="AP10" s="42"/>
      <c r="AQ10" s="42"/>
      <c r="AR10" s="42"/>
      <c r="AS10" s="42"/>
      <c r="AT10" s="42"/>
      <c r="AU10" s="42"/>
      <c r="AV10" s="42"/>
      <c r="AW10" s="42"/>
      <c r="AX10" s="42"/>
      <c r="AY10" s="42"/>
      <c r="AZ10" s="43"/>
    </row>
    <row r="11" spans="1:59" s="41" customFormat="1" ht="16.5" x14ac:dyDescent="0.45">
      <c r="A11" s="36" t="s">
        <v>180</v>
      </c>
      <c r="B11" s="37"/>
      <c r="C11" s="44">
        <v>1079.8557990129</v>
      </c>
      <c r="D11" s="42">
        <v>1188.5858214575035</v>
      </c>
      <c r="E11" s="44">
        <v>1351.8768370267835</v>
      </c>
      <c r="F11" s="42">
        <v>1480.5530323224912</v>
      </c>
      <c r="G11" s="121">
        <f>G114</f>
        <v>1523.1099622379299</v>
      </c>
      <c r="H11" s="42">
        <f t="shared" ref="H11:AF11" si="4">H114</f>
        <v>1575.3267659352402</v>
      </c>
      <c r="I11" s="42">
        <f t="shared" si="4"/>
        <v>1625.1035093672801</v>
      </c>
      <c r="J11" s="42">
        <f t="shared" si="4"/>
        <v>1675.6564578104396</v>
      </c>
      <c r="K11" s="42">
        <f t="shared" si="4"/>
        <v>1720.679870878083</v>
      </c>
      <c r="L11" s="42">
        <f t="shared" si="4"/>
        <v>1764.2118833878608</v>
      </c>
      <c r="M11" s="42">
        <f t="shared" si="4"/>
        <v>1798.3223246187367</v>
      </c>
      <c r="N11" s="42">
        <f t="shared" si="4"/>
        <v>1835.4344846779297</v>
      </c>
      <c r="O11" s="42">
        <f t="shared" si="4"/>
        <v>1875.701178342154</v>
      </c>
      <c r="P11" s="42">
        <f t="shared" si="4"/>
        <v>1919.3100075805089</v>
      </c>
      <c r="Q11" s="42">
        <f t="shared" si="4"/>
        <v>1966.4947608164089</v>
      </c>
      <c r="R11" s="42">
        <f t="shared" si="4"/>
        <v>2017.2183705450013</v>
      </c>
      <c r="S11" s="42">
        <f t="shared" si="4"/>
        <v>2071.6955273935096</v>
      </c>
      <c r="T11" s="42">
        <f t="shared" si="4"/>
        <v>2129.7136994371708</v>
      </c>
      <c r="U11" s="42">
        <f t="shared" si="4"/>
        <v>2191.5030526636701</v>
      </c>
      <c r="V11" s="42">
        <f t="shared" si="4"/>
        <v>2257.3087138498922</v>
      </c>
      <c r="W11" s="42">
        <f t="shared" si="4"/>
        <v>2327.3917430132187</v>
      </c>
      <c r="X11" s="42">
        <f t="shared" si="4"/>
        <v>2402.0301690721612</v>
      </c>
      <c r="Y11" s="42">
        <f t="shared" si="4"/>
        <v>2481.5200928249351</v>
      </c>
      <c r="Z11" s="42">
        <f t="shared" si="4"/>
        <v>2566.1768616216391</v>
      </c>
      <c r="AA11" s="42">
        <f t="shared" si="4"/>
        <v>2656.336320390129</v>
      </c>
      <c r="AB11" s="42">
        <f t="shared" si="4"/>
        <v>2752.3561439785708</v>
      </c>
      <c r="AC11" s="42">
        <f t="shared" si="4"/>
        <v>2854.6172561002613</v>
      </c>
      <c r="AD11" s="42">
        <f t="shared" si="4"/>
        <v>2963.5253405098615</v>
      </c>
      <c r="AE11" s="42">
        <f t="shared" si="4"/>
        <v>3079.5124504060859</v>
      </c>
      <c r="AF11" s="42">
        <f t="shared" si="4"/>
        <v>3203.0387224455649</v>
      </c>
      <c r="AG11" s="42"/>
      <c r="AH11" s="42"/>
      <c r="AI11" s="42"/>
      <c r="AJ11" s="42"/>
      <c r="AK11" s="42"/>
      <c r="AL11" s="42"/>
      <c r="AM11" s="42"/>
      <c r="AN11" s="42"/>
      <c r="AO11" s="42"/>
      <c r="AP11" s="42"/>
      <c r="AQ11" s="42"/>
      <c r="AR11" s="42"/>
      <c r="AS11" s="42"/>
      <c r="AT11" s="42"/>
      <c r="AU11" s="42"/>
      <c r="AV11" s="42"/>
      <c r="AW11" s="42"/>
      <c r="AX11" s="42"/>
      <c r="AY11" s="42"/>
      <c r="AZ11" s="43"/>
    </row>
    <row r="12" spans="1:59" s="41" customFormat="1" ht="16.5" x14ac:dyDescent="0.45">
      <c r="A12" s="45" t="s">
        <v>181</v>
      </c>
      <c r="B12" s="37"/>
      <c r="C12" s="46">
        <f>C76</f>
        <v>0</v>
      </c>
      <c r="D12" s="46">
        <f t="shared" ref="D12:AF12" si="5">D76</f>
        <v>31.333333333333332</v>
      </c>
      <c r="E12" s="46">
        <f t="shared" si="5"/>
        <v>75</v>
      </c>
      <c r="F12" s="46">
        <f t="shared" si="5"/>
        <v>124.66666666666666</v>
      </c>
      <c r="G12" s="122">
        <f t="shared" si="5"/>
        <v>132</v>
      </c>
      <c r="H12" s="46">
        <f t="shared" si="5"/>
        <v>131.76755921472122</v>
      </c>
      <c r="I12" s="46">
        <f t="shared" si="5"/>
        <v>130.48074082590384</v>
      </c>
      <c r="J12" s="46">
        <f t="shared" si="5"/>
        <v>128.06952947086509</v>
      </c>
      <c r="K12" s="46">
        <f t="shared" si="5"/>
        <v>124.40625009079594</v>
      </c>
      <c r="L12" s="46">
        <f t="shared" si="5"/>
        <v>130.4644274592643</v>
      </c>
      <c r="M12" s="46">
        <f t="shared" si="5"/>
        <v>125.35366668220047</v>
      </c>
      <c r="N12" s="46">
        <f t="shared" si="5"/>
        <v>119.11559296791033</v>
      </c>
      <c r="O12" s="46">
        <f t="shared" si="5"/>
        <v>111.63563951776683</v>
      </c>
      <c r="P12" s="46">
        <f t="shared" si="5"/>
        <v>102.85162579286586</v>
      </c>
      <c r="Q12" s="46">
        <f t="shared" si="5"/>
        <v>92.69098190196172</v>
      </c>
      <c r="R12" s="46">
        <f t="shared" si="5"/>
        <v>91.981424052464121</v>
      </c>
      <c r="S12" s="46">
        <f t="shared" si="5"/>
        <v>79.642030253397593</v>
      </c>
      <c r="T12" s="46">
        <f t="shared" si="5"/>
        <v>65.678789838668848</v>
      </c>
      <c r="U12" s="46">
        <f t="shared" si="5"/>
        <v>49.995905055760552</v>
      </c>
      <c r="V12" s="46">
        <f t="shared" si="5"/>
        <v>32.406484455570563</v>
      </c>
      <c r="W12" s="46">
        <f t="shared" si="5"/>
        <v>13.381671970082747</v>
      </c>
      <c r="X12" s="46">
        <f t="shared" si="5"/>
        <v>12.222653752877436</v>
      </c>
      <c r="Y12" s="46">
        <f t="shared" si="5"/>
        <v>11.016821282651632</v>
      </c>
      <c r="Z12" s="46">
        <f t="shared" si="5"/>
        <v>9.7597369207104041</v>
      </c>
      <c r="AA12" s="46">
        <f t="shared" si="5"/>
        <v>8.4780683471522718</v>
      </c>
      <c r="AB12" s="46">
        <f t="shared" si="5"/>
        <v>7.0749072432400144</v>
      </c>
      <c r="AC12" s="46">
        <f t="shared" si="5"/>
        <v>5.5387370318831364</v>
      </c>
      <c r="AD12" s="46">
        <f t="shared" si="5"/>
        <v>3.8569494511978881</v>
      </c>
      <c r="AE12" s="46">
        <f t="shared" si="5"/>
        <v>2.015741071008792</v>
      </c>
      <c r="AF12" s="46">
        <f t="shared" si="5"/>
        <v>0</v>
      </c>
      <c r="AG12" s="42"/>
      <c r="AH12" s="42"/>
      <c r="AI12" s="42"/>
      <c r="AJ12" s="42"/>
      <c r="AK12" s="42"/>
      <c r="AL12" s="42"/>
      <c r="AM12" s="42"/>
      <c r="AN12" s="42"/>
      <c r="AO12" s="42"/>
      <c r="AP12" s="42"/>
      <c r="AQ12" s="42"/>
      <c r="AR12" s="42"/>
      <c r="AS12" s="42"/>
      <c r="AT12" s="42"/>
      <c r="AU12" s="42"/>
      <c r="AV12" s="42"/>
      <c r="AW12" s="42"/>
      <c r="AX12" s="42"/>
      <c r="AY12" s="42"/>
      <c r="AZ12" s="43"/>
    </row>
    <row r="13" spans="1:59" s="41" customFormat="1" ht="16.5" x14ac:dyDescent="0.45">
      <c r="A13" s="36" t="s">
        <v>182</v>
      </c>
      <c r="B13" s="37"/>
      <c r="C13" s="42">
        <v>639.44402216058006</v>
      </c>
      <c r="D13" s="42">
        <v>741.52777322520001</v>
      </c>
      <c r="E13" s="42">
        <v>854.24712472335591</v>
      </c>
      <c r="F13" s="42">
        <v>936.95636378330983</v>
      </c>
      <c r="G13" s="121">
        <f>G98</f>
        <v>1063.9232478859681</v>
      </c>
      <c r="H13" s="42">
        <f t="shared" ref="H13:AF13" si="6">H98</f>
        <v>1196.9698078306512</v>
      </c>
      <c r="I13" s="42">
        <f t="shared" si="6"/>
        <v>1348.4972311589015</v>
      </c>
      <c r="J13" s="42">
        <f t="shared" si="6"/>
        <v>1506.4778636061542</v>
      </c>
      <c r="K13" s="42">
        <f t="shared" si="6"/>
        <v>1677.1221367697178</v>
      </c>
      <c r="L13" s="42">
        <f t="shared" si="6"/>
        <v>1853.2199611305384</v>
      </c>
      <c r="M13" s="42">
        <f t="shared" si="6"/>
        <v>2114.8473563143025</v>
      </c>
      <c r="N13" s="42">
        <f t="shared" si="6"/>
        <v>2300.9539236699611</v>
      </c>
      <c r="O13" s="42">
        <f t="shared" si="6"/>
        <v>2496.535007181908</v>
      </c>
      <c r="P13" s="42">
        <f t="shared" si="6"/>
        <v>2703.747412778006</v>
      </c>
      <c r="Q13" s="42">
        <f t="shared" si="6"/>
        <v>2925.4547006258026</v>
      </c>
      <c r="R13" s="42">
        <f t="shared" si="6"/>
        <v>3144.8638031727378</v>
      </c>
      <c r="S13" s="42">
        <f t="shared" si="6"/>
        <v>3377.5837246075203</v>
      </c>
      <c r="T13" s="42">
        <f t="shared" si="6"/>
        <v>3597.126666707009</v>
      </c>
      <c r="U13" s="42">
        <f t="shared" si="6"/>
        <v>3830.9399000429644</v>
      </c>
      <c r="V13" s="42">
        <f t="shared" si="6"/>
        <v>4079.9509935457568</v>
      </c>
      <c r="W13" s="42">
        <f t="shared" si="6"/>
        <v>4345.1478081262312</v>
      </c>
      <c r="X13" s="42">
        <f t="shared" si="6"/>
        <v>4627.5824156544359</v>
      </c>
      <c r="Y13" s="42">
        <f t="shared" si="6"/>
        <v>4928.375272671974</v>
      </c>
      <c r="Z13" s="42">
        <f t="shared" si="6"/>
        <v>5248.7196653956526</v>
      </c>
      <c r="AA13" s="42">
        <f t="shared" si="6"/>
        <v>5589.88644364637</v>
      </c>
      <c r="AB13" s="42">
        <f t="shared" si="6"/>
        <v>5953.2290624833831</v>
      </c>
      <c r="AC13" s="42">
        <f t="shared" si="6"/>
        <v>6340.1889515448029</v>
      </c>
      <c r="AD13" s="42">
        <f t="shared" si="6"/>
        <v>6752.3012333952147</v>
      </c>
      <c r="AE13" s="42">
        <f t="shared" si="6"/>
        <v>7191.2008135659034</v>
      </c>
      <c r="AF13" s="42">
        <f t="shared" si="6"/>
        <v>7658.6288664476861</v>
      </c>
      <c r="AG13" s="42"/>
      <c r="AH13" s="42"/>
      <c r="AI13" s="42"/>
      <c r="AJ13" s="42"/>
      <c r="AK13" s="42"/>
      <c r="AL13" s="42"/>
      <c r="AM13" s="42"/>
      <c r="AN13" s="42"/>
      <c r="AO13" s="42"/>
      <c r="AP13" s="42"/>
      <c r="AQ13" s="42"/>
      <c r="AR13" s="42"/>
      <c r="AS13" s="42"/>
      <c r="AT13" s="42"/>
      <c r="AU13" s="42"/>
      <c r="AV13" s="42"/>
      <c r="AW13" s="42"/>
      <c r="AX13" s="42"/>
      <c r="AY13" s="42"/>
      <c r="AZ13" s="43"/>
    </row>
    <row r="14" spans="1:59" s="41" customFormat="1" ht="16.5" x14ac:dyDescent="0.45">
      <c r="A14" s="36" t="s">
        <v>183</v>
      </c>
      <c r="B14" s="37"/>
      <c r="C14" s="42">
        <f>+C13-C9</f>
        <v>684.64764600301487</v>
      </c>
      <c r="D14" s="42">
        <f t="shared" ref="D14:E14" si="7">+D13-D9</f>
        <v>791.2254877805965</v>
      </c>
      <c r="E14" s="42">
        <f t="shared" si="7"/>
        <v>904.54590295407581</v>
      </c>
      <c r="F14" s="42">
        <v>1039.6767042666561</v>
      </c>
      <c r="G14" s="121">
        <f>G102</f>
        <v>1177.408394327138</v>
      </c>
      <c r="H14" s="42">
        <f t="shared" ref="H14:AF14" si="8">H102</f>
        <v>1329.5201556776699</v>
      </c>
      <c r="I14" s="42">
        <f t="shared" si="8"/>
        <v>1488.7771444673779</v>
      </c>
      <c r="J14" s="42">
        <f t="shared" si="8"/>
        <v>1658.1367089356327</v>
      </c>
      <c r="K14" s="42">
        <f t="shared" si="8"/>
        <v>1834.7040825064701</v>
      </c>
      <c r="L14" s="42">
        <f t="shared" si="8"/>
        <v>2021.1291522396814</v>
      </c>
      <c r="M14" s="42">
        <f t="shared" si="8"/>
        <v>2285.3995624686822</v>
      </c>
      <c r="N14" s="42">
        <f t="shared" si="8"/>
        <v>2486.5147239659259</v>
      </c>
      <c r="O14" s="42">
        <f t="shared" si="8"/>
        <v>2697.8684755030299</v>
      </c>
      <c r="P14" s="42">
        <f t="shared" si="8"/>
        <v>2921.7915589697809</v>
      </c>
      <c r="Q14" s="42">
        <f t="shared" si="8"/>
        <v>3161.3784668053031</v>
      </c>
      <c r="R14" s="42">
        <f t="shared" si="8"/>
        <v>3398.4818518157008</v>
      </c>
      <c r="S14" s="42">
        <f t="shared" si="8"/>
        <v>3649.9695088500625</v>
      </c>
      <c r="T14" s="42">
        <f t="shared" si="8"/>
        <v>3887.2175269253162</v>
      </c>
      <c r="U14" s="42">
        <f t="shared" si="8"/>
        <v>4139.8866661754619</v>
      </c>
      <c r="V14" s="42">
        <f t="shared" si="8"/>
        <v>4408.9792994768668</v>
      </c>
      <c r="W14" s="42">
        <f t="shared" si="8"/>
        <v>4695.5629539428628</v>
      </c>
      <c r="X14" s="42">
        <f t="shared" si="8"/>
        <v>5000.7745459491489</v>
      </c>
      <c r="Y14" s="42">
        <f t="shared" si="8"/>
        <v>5325.8248914358428</v>
      </c>
      <c r="Z14" s="42">
        <f t="shared" si="8"/>
        <v>5672.003509379173</v>
      </c>
      <c r="AA14" s="42">
        <f t="shared" si="8"/>
        <v>6040.68373748882</v>
      </c>
      <c r="AB14" s="42">
        <f t="shared" si="8"/>
        <v>6433.3281804255921</v>
      </c>
      <c r="AC14" s="42">
        <f t="shared" si="8"/>
        <v>6851.4945121532546</v>
      </c>
      <c r="AD14" s="42">
        <f t="shared" si="8"/>
        <v>7296.841655443216</v>
      </c>
      <c r="AE14" s="42">
        <f t="shared" si="8"/>
        <v>7771.136363047025</v>
      </c>
      <c r="AF14" s="42">
        <f t="shared" si="8"/>
        <v>8276.2602266450813</v>
      </c>
      <c r="AG14" s="42"/>
      <c r="AH14" s="42"/>
      <c r="AI14" s="42"/>
      <c r="AJ14" s="42"/>
      <c r="AK14" s="42"/>
      <c r="AL14" s="42"/>
      <c r="AM14" s="42"/>
      <c r="AN14" s="42"/>
      <c r="AO14" s="42"/>
      <c r="AP14" s="42"/>
      <c r="AQ14" s="42"/>
      <c r="AR14" s="42"/>
      <c r="AS14" s="42"/>
      <c r="AT14" s="42"/>
      <c r="AU14" s="42"/>
      <c r="AV14" s="42"/>
      <c r="AW14" s="42"/>
      <c r="AX14" s="42"/>
      <c r="AY14" s="42"/>
      <c r="AZ14" s="43"/>
    </row>
    <row r="15" spans="1:59" s="41" customFormat="1" ht="16.5" x14ac:dyDescent="0.45">
      <c r="A15" s="36" t="s">
        <v>184</v>
      </c>
      <c r="B15" s="37"/>
      <c r="C15" s="42">
        <v>42.347286235800006</v>
      </c>
      <c r="D15" s="42">
        <v>47.840501498400002</v>
      </c>
      <c r="E15" s="42">
        <v>54.7243513596</v>
      </c>
      <c r="F15" s="42">
        <v>61.396535779053799</v>
      </c>
      <c r="G15" s="121">
        <f>G89</f>
        <v>70.928216525731202</v>
      </c>
      <c r="H15" s="42">
        <f t="shared" ref="H15:AF15" si="9">H89</f>
        <v>80.333544149708146</v>
      </c>
      <c r="I15" s="42">
        <f t="shared" si="9"/>
        <v>90.503169876436345</v>
      </c>
      <c r="J15" s="42">
        <f t="shared" si="9"/>
        <v>101.10589688631909</v>
      </c>
      <c r="K15" s="42">
        <f t="shared" si="9"/>
        <v>112.55853266910859</v>
      </c>
      <c r="L15" s="42">
        <f t="shared" si="9"/>
        <v>124.377178599365</v>
      </c>
      <c r="M15" s="42">
        <f t="shared" si="9"/>
        <v>136.4417649235034</v>
      </c>
      <c r="N15" s="42">
        <f t="shared" si="9"/>
        <v>148.44864023677169</v>
      </c>
      <c r="O15" s="42">
        <f t="shared" si="9"/>
        <v>161.06677465689728</v>
      </c>
      <c r="P15" s="42">
        <f t="shared" si="9"/>
        <v>174.43531695341974</v>
      </c>
      <c r="Q15" s="42">
        <f t="shared" si="9"/>
        <v>188.73901294360019</v>
      </c>
      <c r="R15" s="42">
        <f t="shared" si="9"/>
        <v>202.8944389143702</v>
      </c>
      <c r="S15" s="42">
        <f t="shared" si="9"/>
        <v>217.90862739403357</v>
      </c>
      <c r="T15" s="42">
        <f t="shared" si="9"/>
        <v>232.07268817464575</v>
      </c>
      <c r="U15" s="42">
        <f t="shared" si="9"/>
        <v>247.15741290599772</v>
      </c>
      <c r="V15" s="42">
        <f t="shared" si="9"/>
        <v>263.22264474488753</v>
      </c>
      <c r="W15" s="42">
        <f t="shared" si="9"/>
        <v>280.33211665330526</v>
      </c>
      <c r="X15" s="42">
        <f t="shared" si="9"/>
        <v>298.55370423577006</v>
      </c>
      <c r="Y15" s="42">
        <f t="shared" si="9"/>
        <v>317.95969501109511</v>
      </c>
      <c r="Z15" s="42">
        <f t="shared" si="9"/>
        <v>338.62707518681628</v>
      </c>
      <c r="AA15" s="42">
        <f t="shared" si="9"/>
        <v>360.63783507395937</v>
      </c>
      <c r="AB15" s="42">
        <f t="shared" si="9"/>
        <v>384.07929435376667</v>
      </c>
      <c r="AC15" s="42">
        <f t="shared" si="9"/>
        <v>409.0444484867615</v>
      </c>
      <c r="AD15" s="42">
        <f t="shared" si="9"/>
        <v>435.63233763840094</v>
      </c>
      <c r="AE15" s="42">
        <f t="shared" si="9"/>
        <v>463.94843958489702</v>
      </c>
      <c r="AF15" s="42">
        <f t="shared" si="9"/>
        <v>494.10508815791525</v>
      </c>
      <c r="AG15" s="42"/>
      <c r="AH15" s="42"/>
      <c r="AI15" s="42"/>
      <c r="AJ15" s="42"/>
      <c r="AK15" s="42"/>
      <c r="AL15" s="42"/>
      <c r="AM15" s="42"/>
      <c r="AN15" s="42"/>
      <c r="AO15" s="42"/>
      <c r="AP15" s="42"/>
      <c r="AQ15" s="42"/>
      <c r="AR15" s="42"/>
      <c r="AS15" s="42"/>
      <c r="AT15" s="42"/>
      <c r="AU15" s="42"/>
      <c r="AV15" s="42"/>
      <c r="AW15" s="42"/>
      <c r="AX15" s="42"/>
      <c r="AY15" s="42"/>
      <c r="AZ15" s="43"/>
    </row>
    <row r="16" spans="1:59" s="41" customFormat="1" ht="16.5" x14ac:dyDescent="0.45">
      <c r="A16" s="36" t="s">
        <v>185</v>
      </c>
      <c r="B16" s="37"/>
      <c r="C16" s="42">
        <f>C14-C15-C17</f>
        <v>515.25850105981488</v>
      </c>
      <c r="D16" s="42">
        <f t="shared" ref="D16:F16" si="10">D14-D15-D17</f>
        <v>599.86348178699643</v>
      </c>
      <c r="E16" s="42">
        <f t="shared" si="10"/>
        <v>658.28632183587592</v>
      </c>
      <c r="F16" s="42">
        <f t="shared" si="10"/>
        <v>734.08016848760235</v>
      </c>
      <c r="G16" s="121">
        <f>G111</f>
        <v>851.13859830877448</v>
      </c>
      <c r="H16" s="42">
        <f t="shared" ref="H16:AF16" si="11">H111</f>
        <v>964.0025297964977</v>
      </c>
      <c r="I16" s="42">
        <f t="shared" si="11"/>
        <v>1086.7168122913095</v>
      </c>
      <c r="J16" s="42">
        <f t="shared" si="11"/>
        <v>1214.7873510891238</v>
      </c>
      <c r="K16" s="42">
        <f t="shared" si="11"/>
        <v>1353.2349590143581</v>
      </c>
      <c r="L16" s="42">
        <f t="shared" si="11"/>
        <v>1496.2574585503612</v>
      </c>
      <c r="M16" s="42">
        <f t="shared" si="11"/>
        <v>1642.4177452666722</v>
      </c>
      <c r="N16" s="42">
        <f t="shared" si="11"/>
        <v>1788.0638716519154</v>
      </c>
      <c r="O16" s="42">
        <f t="shared" si="11"/>
        <v>1941.2573015522548</v>
      </c>
      <c r="P16" s="42">
        <f t="shared" si="11"/>
        <v>2103.6899224582426</v>
      </c>
      <c r="Q16" s="42">
        <f t="shared" si="11"/>
        <v>2277.6080386968956</v>
      </c>
      <c r="R16" s="42">
        <f t="shared" si="11"/>
        <v>2449.9503498910203</v>
      </c>
      <c r="S16" s="42">
        <f t="shared" si="11"/>
        <v>2632.8809904884115</v>
      </c>
      <c r="T16" s="42">
        <f t="shared" si="11"/>
        <v>2805.7588000314677</v>
      </c>
      <c r="U16" s="42">
        <f t="shared" si="11"/>
        <v>2989.9868026303084</v>
      </c>
      <c r="V16" s="42">
        <f t="shared" si="11"/>
        <v>3186.3101146368649</v>
      </c>
      <c r="W16" s="42">
        <f t="shared" si="11"/>
        <v>3395.5227629631609</v>
      </c>
      <c r="X16" s="42">
        <f t="shared" si="11"/>
        <v>3618.4708953375343</v>
      </c>
      <c r="Y16" s="42">
        <f t="shared" si="11"/>
        <v>3856.0562012470573</v>
      </c>
      <c r="Z16" s="42">
        <f t="shared" si="11"/>
        <v>4109.2395573920176</v>
      </c>
      <c r="AA16" s="42">
        <f t="shared" si="11"/>
        <v>4379.0449123855533</v>
      </c>
      <c r="AB16" s="42">
        <f t="shared" si="11"/>
        <v>4666.5634263982674</v>
      </c>
      <c r="AC16" s="42">
        <f t="shared" si="11"/>
        <v>4972.9578824778046</v>
      </c>
      <c r="AD16" s="42">
        <f t="shared" si="11"/>
        <v>5299.4673873711499</v>
      </c>
      <c r="AE16" s="42">
        <f t="shared" si="11"/>
        <v>5647.4123808471622</v>
      </c>
      <c r="AF16" s="42">
        <f t="shared" si="11"/>
        <v>6018.1999737634114</v>
      </c>
      <c r="AG16" s="42"/>
      <c r="AH16" s="42"/>
      <c r="AI16" s="42"/>
      <c r="AJ16" s="42"/>
      <c r="AK16" s="42"/>
      <c r="AL16" s="42"/>
      <c r="AM16" s="42"/>
      <c r="AN16" s="42"/>
      <c r="AO16" s="42"/>
      <c r="AP16" s="42"/>
      <c r="AQ16" s="42"/>
      <c r="AR16" s="42"/>
      <c r="AS16" s="42"/>
      <c r="AT16" s="42"/>
      <c r="AU16" s="42"/>
      <c r="AV16" s="42"/>
      <c r="AW16" s="42"/>
      <c r="AX16" s="42"/>
      <c r="AY16" s="42"/>
      <c r="AZ16" s="43"/>
    </row>
    <row r="17" spans="1:52" s="41" customFormat="1" ht="16.5" x14ac:dyDescent="0.45">
      <c r="A17" s="36" t="s">
        <v>186</v>
      </c>
      <c r="B17" s="37"/>
      <c r="C17" s="42">
        <f>0.06*C4</f>
        <v>127.0418587074</v>
      </c>
      <c r="D17" s="42">
        <f>0.06*D4</f>
        <v>143.52150449519999</v>
      </c>
      <c r="E17" s="42">
        <f>0.07*E4</f>
        <v>191.5352297586</v>
      </c>
      <c r="F17" s="47">
        <v>244.2</v>
      </c>
      <c r="G17" s="47">
        <f>G105</f>
        <v>255.34157949263241</v>
      </c>
      <c r="H17" s="47">
        <f t="shared" ref="H17:J17" si="12">H105</f>
        <v>285.18408173146395</v>
      </c>
      <c r="I17" s="47">
        <f t="shared" si="12"/>
        <v>311.55716229963207</v>
      </c>
      <c r="J17" s="47">
        <f t="shared" si="12"/>
        <v>342.24346096018985</v>
      </c>
      <c r="K17" s="42">
        <v>434.26742403946156</v>
      </c>
      <c r="L17" s="42">
        <v>475.12082224957436</v>
      </c>
      <c r="M17" s="42">
        <v>506.54005227850615</v>
      </c>
      <c r="N17" s="42">
        <v>550.00221207723894</v>
      </c>
      <c r="O17" s="42">
        <v>595.5443992938774</v>
      </c>
      <c r="P17" s="42">
        <v>643.6663195581184</v>
      </c>
      <c r="Q17" s="42">
        <v>695.03141516480719</v>
      </c>
      <c r="R17" s="42">
        <v>745.63706301030982</v>
      </c>
      <c r="S17" s="42">
        <v>799.17989096761755</v>
      </c>
      <c r="T17" s="42">
        <v>849.38603871920259</v>
      </c>
      <c r="U17" s="42">
        <v>902.74245063915566</v>
      </c>
      <c r="V17" s="42">
        <v>959.44654009511407</v>
      </c>
      <c r="W17" s="42">
        <v>1019.7080743263966</v>
      </c>
      <c r="X17" s="42">
        <v>1083.749946375844</v>
      </c>
      <c r="Y17" s="42">
        <v>1151.8089951776906</v>
      </c>
      <c r="Z17" s="42">
        <v>1224.136876800339</v>
      </c>
      <c r="AA17" s="42">
        <v>1301.0009900293064</v>
      </c>
      <c r="AB17" s="42">
        <v>1382.6854596735577</v>
      </c>
      <c r="AC17" s="42">
        <v>1469.4921811886882</v>
      </c>
      <c r="AD17" s="42">
        <v>1561.7419304336647</v>
      </c>
      <c r="AE17" s="42">
        <v>1659.7755426149658</v>
      </c>
      <c r="AF17" s="42">
        <v>1763.955164723754</v>
      </c>
      <c r="AG17" s="42"/>
      <c r="AH17" s="42"/>
      <c r="AI17" s="42"/>
      <c r="AJ17" s="42"/>
      <c r="AK17" s="42"/>
      <c r="AL17" s="42"/>
      <c r="AM17" s="42"/>
      <c r="AN17" s="42"/>
      <c r="AO17" s="42"/>
      <c r="AP17" s="42"/>
      <c r="AQ17" s="42"/>
      <c r="AR17" s="42"/>
      <c r="AS17" s="42"/>
      <c r="AT17" s="42"/>
      <c r="AU17" s="42"/>
      <c r="AV17" s="42"/>
      <c r="AW17" s="42"/>
      <c r="AX17" s="42"/>
      <c r="AY17" s="42"/>
      <c r="AZ17" s="43"/>
    </row>
    <row r="18" spans="1:52" s="41" customFormat="1" ht="16.5" x14ac:dyDescent="0.45">
      <c r="A18" s="45" t="s">
        <v>187</v>
      </c>
      <c r="B18" s="37"/>
      <c r="C18" s="48">
        <f>C65</f>
        <v>0</v>
      </c>
      <c r="D18" s="48">
        <f t="shared" ref="D18:E18" si="13">D65</f>
        <v>31.333333333333332</v>
      </c>
      <c r="E18" s="48">
        <f t="shared" si="13"/>
        <v>43.666666666666664</v>
      </c>
      <c r="F18" s="48">
        <f>F65</f>
        <v>49.666666666666664</v>
      </c>
      <c r="G18" s="123">
        <f t="shared" ref="G18:J18" si="14">G65</f>
        <v>7.333333333333333</v>
      </c>
      <c r="H18" s="48">
        <f t="shared" si="14"/>
        <v>0</v>
      </c>
      <c r="I18" s="48">
        <f t="shared" si="14"/>
        <v>0</v>
      </c>
      <c r="J18" s="48">
        <f t="shared" si="14"/>
        <v>0</v>
      </c>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3"/>
    </row>
    <row r="19" spans="1:52" s="41" customFormat="1" ht="16.5" x14ac:dyDescent="0.45">
      <c r="A19" s="49"/>
      <c r="B19" s="37"/>
      <c r="C19" s="42"/>
      <c r="D19" s="42"/>
      <c r="E19" s="42"/>
      <c r="F19" s="42"/>
      <c r="G19" s="50"/>
      <c r="H19" s="50"/>
      <c r="I19" s="50"/>
      <c r="J19" s="50"/>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3"/>
    </row>
    <row r="20" spans="1:52" s="41" customFormat="1" ht="16.5" x14ac:dyDescent="0.45">
      <c r="A20" s="36"/>
      <c r="B20" s="37"/>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3"/>
    </row>
    <row r="21" spans="1:52" s="41" customFormat="1" ht="16.5" x14ac:dyDescent="0.45">
      <c r="A21" s="36"/>
      <c r="B21" s="37"/>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3"/>
    </row>
    <row r="22" spans="1:52" s="31" customFormat="1" ht="16.5" x14ac:dyDescent="0.45">
      <c r="A22" s="32" t="s">
        <v>189</v>
      </c>
      <c r="B22" s="33"/>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5"/>
    </row>
    <row r="23" spans="1:52" s="31" customFormat="1" ht="16.5" x14ac:dyDescent="0.45">
      <c r="A23" s="36" t="s">
        <v>190</v>
      </c>
      <c r="B23" s="37"/>
      <c r="C23" s="51"/>
      <c r="D23" s="51">
        <f t="shared" ref="D23:AF26" si="15">+IF(D4="",C23,D4/C4-1)</f>
        <v>0.12971823582773245</v>
      </c>
      <c r="E23" s="51">
        <f t="shared" si="15"/>
        <v>0.14389167432599392</v>
      </c>
      <c r="F23" s="51">
        <f t="shared" si="15"/>
        <v>0.11539928770470764</v>
      </c>
      <c r="G23" s="51">
        <f t="shared" si="15"/>
        <v>0.1620051538726397</v>
      </c>
      <c r="H23" s="51">
        <f t="shared" si="15"/>
        <v>0.13260346988373639</v>
      </c>
      <c r="I23" s="51">
        <f t="shared" si="15"/>
        <v>0.12659251915708181</v>
      </c>
      <c r="J23" s="51">
        <f t="shared" si="15"/>
        <v>0.11715310109423349</v>
      </c>
      <c r="K23" s="51">
        <f t="shared" si="15"/>
        <v>0.11327366786198989</v>
      </c>
      <c r="L23" s="51">
        <f t="shared" si="15"/>
        <v>0.10499999999999998</v>
      </c>
      <c r="M23" s="51">
        <f t="shared" si="15"/>
        <v>9.6999999999999975E-2</v>
      </c>
      <c r="N23" s="51">
        <f t="shared" si="15"/>
        <v>8.8000000000000078E-2</v>
      </c>
      <c r="O23" s="51">
        <f t="shared" si="15"/>
        <v>8.4999999999999964E-2</v>
      </c>
      <c r="P23" s="51">
        <f t="shared" si="15"/>
        <v>8.2999999999999963E-2</v>
      </c>
      <c r="Q23" s="51">
        <f t="shared" si="15"/>
        <v>8.2000000000000073E-2</v>
      </c>
      <c r="R23" s="51">
        <f t="shared" si="15"/>
        <v>7.4999999999999956E-2</v>
      </c>
      <c r="S23" s="51">
        <f t="shared" si="15"/>
        <v>7.4000000000000066E-2</v>
      </c>
      <c r="T23" s="51">
        <f t="shared" si="15"/>
        <v>6.4999999999999947E-2</v>
      </c>
      <c r="U23" s="51">
        <f t="shared" si="15"/>
        <v>6.4999999999999947E-2</v>
      </c>
      <c r="V23" s="51">
        <f t="shared" si="15"/>
        <v>6.4999999999999947E-2</v>
      </c>
      <c r="W23" s="51">
        <f t="shared" si="15"/>
        <v>6.4999999999999947E-2</v>
      </c>
      <c r="X23" s="51">
        <f t="shared" si="15"/>
        <v>6.4999999999999947E-2</v>
      </c>
      <c r="Y23" s="51">
        <f t="shared" si="15"/>
        <v>6.4999999999999947E-2</v>
      </c>
      <c r="Z23" s="51">
        <f t="shared" si="15"/>
        <v>6.4999999999999947E-2</v>
      </c>
      <c r="AA23" s="51">
        <f t="shared" si="15"/>
        <v>6.4999999999999947E-2</v>
      </c>
      <c r="AB23" s="51">
        <f t="shared" si="15"/>
        <v>6.4999999999999947E-2</v>
      </c>
      <c r="AC23" s="51">
        <f t="shared" si="15"/>
        <v>6.4999999999999947E-2</v>
      </c>
      <c r="AD23" s="51">
        <f t="shared" si="15"/>
        <v>6.4999999999999947E-2</v>
      </c>
      <c r="AE23" s="51">
        <f t="shared" si="15"/>
        <v>6.4999999999999947E-2</v>
      </c>
      <c r="AF23" s="51">
        <f t="shared" si="15"/>
        <v>6.4999999999999947E-2</v>
      </c>
      <c r="AG23" s="51"/>
      <c r="AH23" s="51"/>
      <c r="AI23" s="51"/>
      <c r="AJ23" s="51"/>
      <c r="AK23" s="51"/>
      <c r="AL23" s="51"/>
      <c r="AM23" s="51"/>
      <c r="AN23" s="51"/>
      <c r="AO23" s="51"/>
      <c r="AP23" s="51"/>
      <c r="AQ23" s="51"/>
      <c r="AR23" s="51"/>
      <c r="AS23" s="51"/>
      <c r="AT23" s="51"/>
      <c r="AU23" s="51"/>
      <c r="AV23" s="51"/>
      <c r="AW23" s="51"/>
      <c r="AX23" s="51"/>
      <c r="AY23" s="51"/>
      <c r="AZ23" s="51"/>
    </row>
    <row r="24" spans="1:52" s="31" customFormat="1" ht="16.5" x14ac:dyDescent="0.45">
      <c r="A24" s="36" t="s">
        <v>191</v>
      </c>
      <c r="B24" s="37"/>
      <c r="C24" s="51"/>
      <c r="D24" s="51">
        <f t="shared" si="15"/>
        <v>5.1666907030454956E-2</v>
      </c>
      <c r="E24" s="51">
        <f t="shared" si="15"/>
        <v>6.0858866319867699E-2</v>
      </c>
      <c r="F24" s="51">
        <f t="shared" si="15"/>
        <v>3.1838315430661401E-2</v>
      </c>
      <c r="G24" s="51">
        <f t="shared" si="15"/>
        <v>5.110554808137957E-2</v>
      </c>
      <c r="H24" s="51">
        <f t="shared" si="15"/>
        <v>3.4842908104803838E-2</v>
      </c>
      <c r="I24" s="51">
        <f t="shared" si="15"/>
        <v>3.4966571152103443E-2</v>
      </c>
      <c r="J24" s="51">
        <f t="shared" si="15"/>
        <v>3.5107605940855491E-2</v>
      </c>
      <c r="K24" s="51">
        <f t="shared" si="15"/>
        <v>3.5906692506765259E-2</v>
      </c>
      <c r="L24" s="51">
        <f t="shared" si="15"/>
        <v>4.0699999999999958E-2</v>
      </c>
      <c r="M24" s="51">
        <f t="shared" si="15"/>
        <v>4.0100000000000025E-2</v>
      </c>
      <c r="N24" s="51">
        <f t="shared" si="15"/>
        <v>3.9500000000000091E-2</v>
      </c>
      <c r="O24" s="51">
        <f t="shared" si="15"/>
        <v>3.8000000000000034E-2</v>
      </c>
      <c r="P24" s="51">
        <f t="shared" si="15"/>
        <v>3.7500000000000089E-2</v>
      </c>
      <c r="Q24" s="51">
        <f t="shared" si="15"/>
        <v>3.7300000000000111E-2</v>
      </c>
      <c r="R24" s="51">
        <f t="shared" si="15"/>
        <v>3.6799999999999944E-2</v>
      </c>
      <c r="S24" s="51">
        <f t="shared" si="15"/>
        <v>3.620000000000001E-2</v>
      </c>
      <c r="T24" s="51">
        <f t="shared" si="15"/>
        <v>3.499999999999992E-2</v>
      </c>
      <c r="U24" s="51">
        <f t="shared" si="15"/>
        <v>3.499999999999992E-2</v>
      </c>
      <c r="V24" s="51">
        <f t="shared" si="15"/>
        <v>3.499999999999992E-2</v>
      </c>
      <c r="W24" s="51">
        <f t="shared" si="15"/>
        <v>3.499999999999992E-2</v>
      </c>
      <c r="X24" s="51">
        <f t="shared" si="15"/>
        <v>3.499999999999992E-2</v>
      </c>
      <c r="Y24" s="51">
        <f t="shared" si="15"/>
        <v>3.499999999999992E-2</v>
      </c>
      <c r="Z24" s="51">
        <f t="shared" si="15"/>
        <v>3.499999999999992E-2</v>
      </c>
      <c r="AA24" s="51">
        <f t="shared" si="15"/>
        <v>3.499999999999992E-2</v>
      </c>
      <c r="AB24" s="51">
        <f t="shared" si="15"/>
        <v>3.499999999999992E-2</v>
      </c>
      <c r="AC24" s="51">
        <f t="shared" si="15"/>
        <v>3.499999999999992E-2</v>
      </c>
      <c r="AD24" s="51">
        <f t="shared" si="15"/>
        <v>3.499999999999992E-2</v>
      </c>
      <c r="AE24" s="51">
        <f t="shared" si="15"/>
        <v>3.499999999999992E-2</v>
      </c>
      <c r="AF24" s="51">
        <f t="shared" si="15"/>
        <v>3.499999999999992E-2</v>
      </c>
      <c r="AG24" s="51"/>
      <c r="AH24" s="51"/>
      <c r="AI24" s="51"/>
      <c r="AJ24" s="51"/>
      <c r="AK24" s="51"/>
      <c r="AL24" s="51"/>
      <c r="AM24" s="51"/>
      <c r="AN24" s="51"/>
      <c r="AO24" s="51"/>
      <c r="AP24" s="51"/>
      <c r="AQ24" s="51"/>
      <c r="AR24" s="51"/>
      <c r="AS24" s="51"/>
      <c r="AT24" s="51"/>
      <c r="AU24" s="51"/>
      <c r="AV24" s="51"/>
      <c r="AW24" s="51"/>
      <c r="AX24" s="51"/>
      <c r="AY24" s="51"/>
      <c r="AZ24" s="51"/>
    </row>
    <row r="25" spans="1:52" s="31" customFormat="1" ht="16.5" x14ac:dyDescent="0.45">
      <c r="A25" s="36" t="s">
        <v>192</v>
      </c>
      <c r="B25" s="37"/>
      <c r="C25" s="51"/>
      <c r="D25" s="51">
        <f t="shared" si="15"/>
        <v>7.4216777456340699E-2</v>
      </c>
      <c r="E25" s="51">
        <f t="shared" si="15"/>
        <v>7.8269419846739963E-2</v>
      </c>
      <c r="F25" s="51">
        <f t="shared" si="15"/>
        <v>8.0982622010087102E-2</v>
      </c>
      <c r="G25" s="51">
        <f t="shared" si="15"/>
        <v>0.10550758293844997</v>
      </c>
      <c r="H25" s="51">
        <f t="shared" si="15"/>
        <v>9.4468987527748682E-2</v>
      </c>
      <c r="I25" s="51">
        <f t="shared" si="15"/>
        <v>8.853034538398874E-2</v>
      </c>
      <c r="J25" s="51">
        <f t="shared" si="15"/>
        <v>7.9262769090371776E-2</v>
      </c>
      <c r="K25" s="51">
        <f t="shared" si="15"/>
        <v>7.4685274180444239E-2</v>
      </c>
      <c r="L25" s="51">
        <f t="shared" si="15"/>
        <v>6.178533679254361E-2</v>
      </c>
      <c r="M25" s="51">
        <f t="shared" si="15"/>
        <v>5.4706278242476536E-2</v>
      </c>
      <c r="N25" s="51">
        <f t="shared" si="15"/>
        <v>4.6657046657046841E-2</v>
      </c>
      <c r="O25" s="51">
        <f t="shared" si="15"/>
        <v>4.5279383429672304E-2</v>
      </c>
      <c r="P25" s="51">
        <f t="shared" si="15"/>
        <v>4.3855421686746832E-2</v>
      </c>
      <c r="Q25" s="51">
        <f t="shared" si="15"/>
        <v>4.3092644365178678E-2</v>
      </c>
      <c r="R25" s="51">
        <f t="shared" si="15"/>
        <v>3.6844135802469147E-2</v>
      </c>
      <c r="S25" s="51">
        <f t="shared" si="15"/>
        <v>3.6479444122756499E-2</v>
      </c>
      <c r="T25" s="51">
        <f t="shared" si="15"/>
        <v>2.8985507246376718E-2</v>
      </c>
      <c r="U25" s="51">
        <f t="shared" si="15"/>
        <v>2.8985507246376718E-2</v>
      </c>
      <c r="V25" s="51">
        <f t="shared" si="15"/>
        <v>2.8985507246376718E-2</v>
      </c>
      <c r="W25" s="51">
        <f t="shared" si="15"/>
        <v>2.898550724637694E-2</v>
      </c>
      <c r="X25" s="51">
        <f t="shared" si="15"/>
        <v>2.8985507246376718E-2</v>
      </c>
      <c r="Y25" s="51">
        <f t="shared" si="15"/>
        <v>2.898550724637694E-2</v>
      </c>
      <c r="Z25" s="51">
        <f t="shared" si="15"/>
        <v>2.898550724637694E-2</v>
      </c>
      <c r="AA25" s="51">
        <f t="shared" si="15"/>
        <v>2.898550724637694E-2</v>
      </c>
      <c r="AB25" s="51">
        <f t="shared" si="15"/>
        <v>2.8985507246376496E-2</v>
      </c>
      <c r="AC25" s="51">
        <f t="shared" si="15"/>
        <v>2.8985507246376718E-2</v>
      </c>
      <c r="AD25" s="51">
        <f t="shared" si="15"/>
        <v>2.898550724637694E-2</v>
      </c>
      <c r="AE25" s="51">
        <f t="shared" si="15"/>
        <v>2.898550724637694E-2</v>
      </c>
      <c r="AF25" s="51">
        <f t="shared" si="15"/>
        <v>2.898550724637694E-2</v>
      </c>
      <c r="AG25" s="51"/>
      <c r="AH25" s="51"/>
      <c r="AI25" s="51"/>
      <c r="AJ25" s="51"/>
      <c r="AK25" s="51"/>
      <c r="AL25" s="51"/>
      <c r="AM25" s="51"/>
      <c r="AN25" s="51"/>
      <c r="AO25" s="51"/>
      <c r="AP25" s="51"/>
      <c r="AQ25" s="51"/>
      <c r="AR25" s="51"/>
      <c r="AS25" s="51"/>
      <c r="AT25" s="51"/>
      <c r="AU25" s="51"/>
      <c r="AV25" s="51"/>
      <c r="AW25" s="51"/>
      <c r="AX25" s="51"/>
      <c r="AY25" s="51"/>
      <c r="AZ25" s="52"/>
    </row>
    <row r="26" spans="1:52" s="31" customFormat="1" ht="16.5" x14ac:dyDescent="0.45">
      <c r="A26" s="36" t="s">
        <v>193</v>
      </c>
      <c r="B26" s="37"/>
      <c r="C26" s="51"/>
      <c r="D26" s="51">
        <f t="shared" si="15"/>
        <v>0.14937520820118233</v>
      </c>
      <c r="E26" s="51">
        <f t="shared" si="15"/>
        <v>0.24321619151791496</v>
      </c>
      <c r="F26" s="51">
        <f t="shared" si="15"/>
        <v>0.1103082092800729</v>
      </c>
      <c r="G26" s="51">
        <f t="shared" si="15"/>
        <v>0.19264902273483275</v>
      </c>
      <c r="H26" s="51">
        <f t="shared" si="15"/>
        <v>5.1933605285015449E-2</v>
      </c>
      <c r="I26" s="51">
        <f t="shared" si="15"/>
        <v>6.0428928113787306E-2</v>
      </c>
      <c r="J26" s="51">
        <f t="shared" si="15"/>
        <v>5.5001234829633372E-2</v>
      </c>
      <c r="K26" s="51">
        <f t="shared" si="15"/>
        <v>5.5243168630070505E-2</v>
      </c>
      <c r="L26" s="51">
        <f t="shared" si="15"/>
        <v>5.4587749334792157E-2</v>
      </c>
      <c r="M26" s="51">
        <f t="shared" si="15"/>
        <v>0</v>
      </c>
      <c r="N26" s="51">
        <f t="shared" si="15"/>
        <v>0</v>
      </c>
      <c r="O26" s="51">
        <f t="shared" si="15"/>
        <v>0</v>
      </c>
      <c r="P26" s="51">
        <f t="shared" si="15"/>
        <v>-1.8958724839421848E-2</v>
      </c>
      <c r="Q26" s="51">
        <f t="shared" si="15"/>
        <v>-4.0000000000000036E-2</v>
      </c>
      <c r="R26" s="51">
        <f t="shared" si="15"/>
        <v>-2.0833333333333259E-3</v>
      </c>
      <c r="S26" s="51">
        <f t="shared" si="15"/>
        <v>-2.2964509394572286E-2</v>
      </c>
      <c r="T26" s="51">
        <f t="shared" si="15"/>
        <v>-1.2820512820512553E-2</v>
      </c>
      <c r="U26" s="51">
        <f t="shared" si="15"/>
        <v>-3.6796536796536827E-2</v>
      </c>
      <c r="V26" s="51">
        <f t="shared" si="15"/>
        <v>-3.3707865168539297E-2</v>
      </c>
      <c r="W26" s="51">
        <f t="shared" si="15"/>
        <v>-4.1860465116279055E-2</v>
      </c>
      <c r="X26" s="51">
        <f t="shared" si="15"/>
        <v>-6.5533980582524243E-2</v>
      </c>
      <c r="Y26" s="51">
        <f t="shared" si="15"/>
        <v>-2.5974025974025983E-2</v>
      </c>
      <c r="Z26" s="51">
        <f t="shared" si="15"/>
        <v>-2.6666666666666616E-2</v>
      </c>
      <c r="AA26" s="51">
        <f t="shared" si="15"/>
        <v>-4.1095890410958957E-2</v>
      </c>
      <c r="AB26" s="51">
        <f t="shared" si="15"/>
        <v>0</v>
      </c>
      <c r="AC26" s="51">
        <f t="shared" si="15"/>
        <v>0</v>
      </c>
      <c r="AD26" s="51">
        <f t="shared" si="15"/>
        <v>0</v>
      </c>
      <c r="AE26" s="51">
        <f t="shared" si="15"/>
        <v>0</v>
      </c>
      <c r="AF26" s="51">
        <f t="shared" si="15"/>
        <v>0</v>
      </c>
      <c r="AG26" s="51"/>
      <c r="AH26" s="51"/>
      <c r="AI26" s="51"/>
      <c r="AJ26" s="51"/>
      <c r="AK26" s="51"/>
      <c r="AL26" s="51"/>
      <c r="AM26" s="51"/>
      <c r="AN26" s="51"/>
      <c r="AO26" s="51"/>
      <c r="AP26" s="51"/>
      <c r="AQ26" s="51"/>
      <c r="AR26" s="51"/>
      <c r="AS26" s="51"/>
      <c r="AT26" s="51"/>
      <c r="AU26" s="51"/>
      <c r="AV26" s="51"/>
      <c r="AW26" s="51"/>
      <c r="AX26" s="51"/>
      <c r="AY26" s="51"/>
      <c r="AZ26" s="52"/>
    </row>
    <row r="27" spans="1:52" s="31" customFormat="1" ht="16.5" x14ac:dyDescent="0.45">
      <c r="A27" s="36"/>
      <c r="B27" s="37"/>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2"/>
    </row>
    <row r="28" spans="1:52" s="31" customFormat="1" ht="16.5" x14ac:dyDescent="0.45">
      <c r="A28" s="36"/>
      <c r="B28" s="37"/>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2"/>
    </row>
    <row r="29" spans="1:52" s="31" customFormat="1" ht="16.5" x14ac:dyDescent="0.45">
      <c r="A29" s="36"/>
      <c r="B29" s="37"/>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2"/>
    </row>
    <row r="30" spans="1:52" s="31" customFormat="1" ht="16.5" x14ac:dyDescent="0.45">
      <c r="A30" s="36"/>
      <c r="B30" s="37"/>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2"/>
    </row>
    <row r="31" spans="1:52" s="31" customFormat="1" ht="16.5" x14ac:dyDescent="0.45">
      <c r="A31" s="32" t="s">
        <v>194</v>
      </c>
      <c r="B31" s="33"/>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5"/>
    </row>
    <row r="32" spans="1:52" s="31" customFormat="1" ht="16.5" x14ac:dyDescent="0.45">
      <c r="A32" s="36"/>
      <c r="B32" s="37"/>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4"/>
    </row>
    <row r="33" spans="1:52" s="31" customFormat="1" ht="16.5" x14ac:dyDescent="0.45">
      <c r="A33" s="36" t="s">
        <v>177</v>
      </c>
      <c r="B33" s="37"/>
      <c r="C33" s="55">
        <f>(C8/C$4)*100</f>
        <v>1.1916791603646768</v>
      </c>
      <c r="D33" s="55">
        <f>(D8/D$4)*100</f>
        <v>0.78301948591529247</v>
      </c>
      <c r="E33" s="55">
        <f t="shared" ref="E33:AF42" si="16">(E8/E$4)*100</f>
        <v>0.85121212003892355</v>
      </c>
      <c r="F33" s="55">
        <f t="shared" si="16"/>
        <v>-1.3540020148848435</v>
      </c>
      <c r="G33" s="55">
        <f t="shared" si="16"/>
        <v>-1.2000000000000002</v>
      </c>
      <c r="H33" s="55">
        <f t="shared" si="16"/>
        <v>-1.2999999999999998</v>
      </c>
      <c r="I33" s="55">
        <f t="shared" si="16"/>
        <v>-1.1000000000000001</v>
      </c>
      <c r="J33" s="55">
        <f t="shared" si="16"/>
        <v>-1</v>
      </c>
      <c r="K33" s="55">
        <f t="shared" si="16"/>
        <v>-0.79999999999999982</v>
      </c>
      <c r="L33" s="55">
        <f t="shared" si="16"/>
        <v>-0.70000000000000007</v>
      </c>
      <c r="M33" s="55">
        <f t="shared" si="16"/>
        <v>-0.5</v>
      </c>
      <c r="N33" s="55">
        <f t="shared" si="16"/>
        <v>-0.5</v>
      </c>
      <c r="O33" s="55">
        <f t="shared" si="16"/>
        <v>-0.5</v>
      </c>
      <c r="P33" s="55">
        <f t="shared" si="16"/>
        <v>-0.5</v>
      </c>
      <c r="Q33" s="55">
        <f t="shared" si="16"/>
        <v>-0.5</v>
      </c>
      <c r="R33" s="55">
        <f t="shared" si="16"/>
        <v>-0.5</v>
      </c>
      <c r="S33" s="55">
        <f t="shared" si="16"/>
        <v>-0.5</v>
      </c>
      <c r="T33" s="55">
        <f t="shared" si="16"/>
        <v>-0.5</v>
      </c>
      <c r="U33" s="55">
        <f t="shared" si="16"/>
        <v>-0.5</v>
      </c>
      <c r="V33" s="55">
        <f t="shared" si="16"/>
        <v>-0.5</v>
      </c>
      <c r="W33" s="55">
        <f t="shared" si="16"/>
        <v>-0.5</v>
      </c>
      <c r="X33" s="55">
        <f t="shared" si="16"/>
        <v>-0.5</v>
      </c>
      <c r="Y33" s="55">
        <f t="shared" si="16"/>
        <v>-0.5</v>
      </c>
      <c r="Z33" s="55">
        <f t="shared" si="16"/>
        <v>-0.5</v>
      </c>
      <c r="AA33" s="55">
        <f t="shared" si="16"/>
        <v>-0.5</v>
      </c>
      <c r="AB33" s="55">
        <f t="shared" si="16"/>
        <v>-0.5</v>
      </c>
      <c r="AC33" s="55">
        <f t="shared" si="16"/>
        <v>-0.5</v>
      </c>
      <c r="AD33" s="55">
        <f t="shared" si="16"/>
        <v>-0.5</v>
      </c>
      <c r="AE33" s="55">
        <f t="shared" si="16"/>
        <v>-0.5</v>
      </c>
      <c r="AF33" s="55">
        <f t="shared" si="16"/>
        <v>-0.5</v>
      </c>
      <c r="AG33" s="53"/>
      <c r="AH33" s="53"/>
      <c r="AI33" s="53"/>
      <c r="AJ33" s="53"/>
      <c r="AK33" s="53"/>
      <c r="AL33" s="53"/>
      <c r="AM33" s="53"/>
      <c r="AN33" s="53"/>
      <c r="AO33" s="53"/>
      <c r="AP33" s="53"/>
      <c r="AQ33" s="53"/>
      <c r="AR33" s="53"/>
      <c r="AS33" s="53"/>
      <c r="AT33" s="53"/>
      <c r="AU33" s="53"/>
      <c r="AV33" s="53"/>
      <c r="AW33" s="53"/>
      <c r="AX33" s="53"/>
      <c r="AY33" s="53"/>
      <c r="AZ33" s="54"/>
    </row>
    <row r="34" spans="1:52" s="31" customFormat="1" ht="16.5" x14ac:dyDescent="0.45">
      <c r="A34" s="36" t="s">
        <v>178</v>
      </c>
      <c r="B34" s="37"/>
      <c r="C34" s="55">
        <f t="shared" ref="C34:R44" si="17">(C9/C$4)*100</f>
        <v>-2.1349006210565671</v>
      </c>
      <c r="D34" s="55">
        <f t="shared" si="17"/>
        <v>-2.0776418724230381</v>
      </c>
      <c r="E34" s="55">
        <f t="shared" si="16"/>
        <v>-1.8382594578490619</v>
      </c>
      <c r="F34" s="55">
        <f t="shared" si="16"/>
        <v>-3.3657004474629342</v>
      </c>
      <c r="G34" s="55">
        <f t="shared" si="16"/>
        <v>-3.2</v>
      </c>
      <c r="H34" s="55">
        <f t="shared" si="16"/>
        <v>-3.3000000000000003</v>
      </c>
      <c r="I34" s="55">
        <f t="shared" si="16"/>
        <v>-3.1000000000000005</v>
      </c>
      <c r="J34" s="55">
        <f t="shared" si="16"/>
        <v>-3.0000000000000004</v>
      </c>
      <c r="K34" s="55">
        <f t="shared" si="16"/>
        <v>-2.8</v>
      </c>
      <c r="L34" s="55">
        <f t="shared" si="16"/>
        <v>-2.7</v>
      </c>
      <c r="M34" s="55">
        <f t="shared" si="16"/>
        <v>-2.5</v>
      </c>
      <c r="N34" s="55">
        <f t="shared" si="16"/>
        <v>-2.5</v>
      </c>
      <c r="O34" s="55">
        <f t="shared" si="16"/>
        <v>-2.5</v>
      </c>
      <c r="P34" s="55">
        <f t="shared" si="16"/>
        <v>-2.5</v>
      </c>
      <c r="Q34" s="55">
        <f t="shared" si="16"/>
        <v>-2.5</v>
      </c>
      <c r="R34" s="55">
        <f t="shared" si="16"/>
        <v>-2.5</v>
      </c>
      <c r="S34" s="55">
        <f t="shared" si="16"/>
        <v>-2.5000000000000004</v>
      </c>
      <c r="T34" s="55">
        <f t="shared" si="16"/>
        <v>-2.5</v>
      </c>
      <c r="U34" s="55">
        <f t="shared" si="16"/>
        <v>-2.5</v>
      </c>
      <c r="V34" s="55">
        <f t="shared" si="16"/>
        <v>-2.5</v>
      </c>
      <c r="W34" s="55">
        <f t="shared" si="16"/>
        <v>-2.5000000000000004</v>
      </c>
      <c r="X34" s="55">
        <f t="shared" si="16"/>
        <v>-2.5</v>
      </c>
      <c r="Y34" s="55">
        <f t="shared" si="16"/>
        <v>-2.5</v>
      </c>
      <c r="Z34" s="55">
        <f t="shared" si="16"/>
        <v>-2.5</v>
      </c>
      <c r="AA34" s="55">
        <f t="shared" si="16"/>
        <v>-2.5</v>
      </c>
      <c r="AB34" s="55">
        <f t="shared" si="16"/>
        <v>-2.5</v>
      </c>
      <c r="AC34" s="55">
        <f t="shared" si="16"/>
        <v>-2.5</v>
      </c>
      <c r="AD34" s="55">
        <f t="shared" si="16"/>
        <v>-2.5000000000000004</v>
      </c>
      <c r="AE34" s="55">
        <f t="shared" si="16"/>
        <v>-2.5</v>
      </c>
      <c r="AF34" s="55">
        <f t="shared" si="16"/>
        <v>-2.5</v>
      </c>
      <c r="AG34" s="53"/>
      <c r="AH34" s="53"/>
      <c r="AI34" s="53"/>
      <c r="AJ34" s="53"/>
      <c r="AK34" s="53"/>
      <c r="AL34" s="53"/>
      <c r="AM34" s="53"/>
      <c r="AN34" s="53"/>
      <c r="AO34" s="53"/>
      <c r="AP34" s="53"/>
      <c r="AQ34" s="53"/>
      <c r="AR34" s="53"/>
      <c r="AS34" s="53"/>
      <c r="AT34" s="53"/>
      <c r="AU34" s="53"/>
      <c r="AV34" s="53"/>
      <c r="AW34" s="53"/>
      <c r="AX34" s="53"/>
      <c r="AY34" s="53"/>
      <c r="AZ34" s="54"/>
    </row>
    <row r="35" spans="1:52" s="31" customFormat="1" ht="16.5" x14ac:dyDescent="0.45">
      <c r="A35" s="36" t="s">
        <v>179</v>
      </c>
      <c r="B35" s="37"/>
      <c r="C35" s="55">
        <f t="shared" si="17"/>
        <v>-1.7474555414944415</v>
      </c>
      <c r="D35" s="55">
        <f t="shared" si="17"/>
        <v>-1.0451395456561472</v>
      </c>
      <c r="E35" s="55">
        <f t="shared" si="16"/>
        <v>-1.53496565812222</v>
      </c>
      <c r="F35" s="55">
        <f t="shared" si="16"/>
        <v>-2.9161443431232192</v>
      </c>
      <c r="G35" s="55">
        <f t="shared" si="16"/>
        <v>-3.2</v>
      </c>
      <c r="H35" s="55">
        <f t="shared" si="16"/>
        <v>-3.3000000000000003</v>
      </c>
      <c r="I35" s="55">
        <f t="shared" si="16"/>
        <v>-3.1000000000000005</v>
      </c>
      <c r="J35" s="55">
        <f t="shared" si="16"/>
        <v>-3.0000000000000004</v>
      </c>
      <c r="K35" s="55">
        <f t="shared" si="16"/>
        <v>-2.8</v>
      </c>
      <c r="L35" s="55">
        <f t="shared" si="16"/>
        <v>-2.7</v>
      </c>
      <c r="M35" s="55">
        <f t="shared" si="16"/>
        <v>-2.5</v>
      </c>
      <c r="N35" s="55">
        <f t="shared" si="16"/>
        <v>-2.5</v>
      </c>
      <c r="O35" s="55">
        <f t="shared" si="16"/>
        <v>-2.5</v>
      </c>
      <c r="P35" s="55">
        <f t="shared" si="16"/>
        <v>-2.5</v>
      </c>
      <c r="Q35" s="55">
        <f t="shared" si="16"/>
        <v>-2.5</v>
      </c>
      <c r="R35" s="55">
        <f t="shared" si="16"/>
        <v>-2.5</v>
      </c>
      <c r="S35" s="55">
        <f t="shared" si="16"/>
        <v>-2.5000000000000004</v>
      </c>
      <c r="T35" s="55">
        <f t="shared" si="16"/>
        <v>-2.5</v>
      </c>
      <c r="U35" s="55">
        <f t="shared" si="16"/>
        <v>-2.5</v>
      </c>
      <c r="V35" s="55">
        <f t="shared" si="16"/>
        <v>-2.5</v>
      </c>
      <c r="W35" s="55">
        <f t="shared" si="16"/>
        <v>-2.5000000000000004</v>
      </c>
      <c r="X35" s="55">
        <f t="shared" si="16"/>
        <v>-2.5</v>
      </c>
      <c r="Y35" s="55">
        <f t="shared" si="16"/>
        <v>-2.5</v>
      </c>
      <c r="Z35" s="55">
        <f t="shared" si="16"/>
        <v>-2.5</v>
      </c>
      <c r="AA35" s="55">
        <f t="shared" si="16"/>
        <v>-2.5</v>
      </c>
      <c r="AB35" s="55">
        <f t="shared" si="16"/>
        <v>-2.5</v>
      </c>
      <c r="AC35" s="55">
        <f t="shared" si="16"/>
        <v>-2.5</v>
      </c>
      <c r="AD35" s="55">
        <f t="shared" si="16"/>
        <v>-2.5000000000000004</v>
      </c>
      <c r="AE35" s="55">
        <f t="shared" si="16"/>
        <v>-2.5</v>
      </c>
      <c r="AF35" s="55">
        <f t="shared" si="16"/>
        <v>-2.5</v>
      </c>
      <c r="AG35" s="53"/>
      <c r="AH35" s="53"/>
      <c r="AI35" s="53"/>
      <c r="AJ35" s="53"/>
      <c r="AK35" s="53"/>
      <c r="AL35" s="53"/>
      <c r="AM35" s="53"/>
      <c r="AN35" s="53"/>
      <c r="AO35" s="53"/>
      <c r="AP35" s="53"/>
      <c r="AQ35" s="53"/>
      <c r="AR35" s="53"/>
      <c r="AS35" s="53"/>
      <c r="AT35" s="53"/>
      <c r="AU35" s="53"/>
      <c r="AV35" s="53"/>
      <c r="AW35" s="53"/>
      <c r="AX35" s="53"/>
      <c r="AY35" s="53"/>
      <c r="AZ35" s="54"/>
    </row>
    <row r="36" spans="1:52" s="31" customFormat="1" ht="16.5" x14ac:dyDescent="0.45">
      <c r="A36" s="36" t="s">
        <v>180</v>
      </c>
      <c r="B36" s="37"/>
      <c r="C36" s="55">
        <f t="shared" si="17"/>
        <v>51</v>
      </c>
      <c r="D36" s="55">
        <f t="shared" si="17"/>
        <v>49.689521816457344</v>
      </c>
      <c r="E36" s="55">
        <f t="shared" si="16"/>
        <v>49.40677425826194</v>
      </c>
      <c r="F36" s="55">
        <f t="shared" si="16"/>
        <v>48.511307302260235</v>
      </c>
      <c r="G36" s="55">
        <f t="shared" si="16"/>
        <v>42.947927830255786</v>
      </c>
      <c r="H36" s="55">
        <f t="shared" si="16"/>
        <v>39.219650585799869</v>
      </c>
      <c r="I36" s="55">
        <f t="shared" si="16"/>
        <v>35.912631824631738</v>
      </c>
      <c r="J36" s="55">
        <f t="shared" si="16"/>
        <v>33.146562355200814</v>
      </c>
      <c r="K36" s="55">
        <f t="shared" si="16"/>
        <v>30.573957035072812</v>
      </c>
      <c r="L36" s="55">
        <f t="shared" si="16"/>
        <v>28.368739398255943</v>
      </c>
      <c r="M36" s="55">
        <f t="shared" si="16"/>
        <v>26.360291156112986</v>
      </c>
      <c r="N36" s="55">
        <f t="shared" si="16"/>
        <v>24.72820878319208</v>
      </c>
      <c r="O36" s="55">
        <f t="shared" si="16"/>
        <v>23.290975837043394</v>
      </c>
      <c r="P36" s="55">
        <f t="shared" si="16"/>
        <v>22.005979535589468</v>
      </c>
      <c r="Q36" s="55">
        <f t="shared" si="16"/>
        <v>20.838243563391377</v>
      </c>
      <c r="R36" s="55">
        <f t="shared" si="16"/>
        <v>19.884412617108254</v>
      </c>
      <c r="S36" s="55">
        <f t="shared" si="16"/>
        <v>19.014350667698558</v>
      </c>
      <c r="T36" s="55">
        <f t="shared" si="16"/>
        <v>18.353850392205221</v>
      </c>
      <c r="U36" s="55">
        <f t="shared" si="16"/>
        <v>17.7336623400988</v>
      </c>
      <c r="V36" s="55">
        <f t="shared" si="16"/>
        <v>17.151326140937844</v>
      </c>
      <c r="W36" s="55">
        <f t="shared" si="16"/>
        <v>16.604531587735064</v>
      </c>
      <c r="X36" s="55">
        <f t="shared" si="16"/>
        <v>16.091109472051706</v>
      </c>
      <c r="Y36" s="55">
        <f t="shared" si="16"/>
        <v>15.609022978452305</v>
      </c>
      <c r="Z36" s="55">
        <f t="shared" si="16"/>
        <v>15.156359604180567</v>
      </c>
      <c r="AA36" s="55">
        <f t="shared" si="16"/>
        <v>14.731323572000532</v>
      </c>
      <c r="AB36" s="55">
        <f t="shared" si="16"/>
        <v>14.332228706103789</v>
      </c>
      <c r="AC36" s="55">
        <f t="shared" si="16"/>
        <v>13.95749174282046</v>
      </c>
      <c r="AD36" s="55">
        <f t="shared" si="16"/>
        <v>13.605626049596678</v>
      </c>
      <c r="AE36" s="55">
        <f t="shared" si="16"/>
        <v>13.275235727320824</v>
      </c>
      <c r="AF36" s="55">
        <f t="shared" si="16"/>
        <v>12.965010072601716</v>
      </c>
      <c r="AG36" s="53"/>
      <c r="AH36" s="53"/>
      <c r="AI36" s="53"/>
      <c r="AJ36" s="53"/>
      <c r="AK36" s="53"/>
      <c r="AL36" s="53"/>
      <c r="AM36" s="53"/>
      <c r="AN36" s="53"/>
      <c r="AO36" s="53"/>
      <c r="AP36" s="53"/>
      <c r="AQ36" s="53"/>
      <c r="AR36" s="53"/>
      <c r="AS36" s="53"/>
      <c r="AT36" s="53"/>
      <c r="AU36" s="53"/>
      <c r="AV36" s="53"/>
      <c r="AW36" s="53"/>
      <c r="AX36" s="53"/>
      <c r="AY36" s="53"/>
      <c r="AZ36" s="54"/>
    </row>
    <row r="37" spans="1:52" s="31" customFormat="1" ht="16.5" x14ac:dyDescent="0.45">
      <c r="A37" s="45" t="s">
        <v>181</v>
      </c>
      <c r="B37" s="37"/>
      <c r="C37" s="56">
        <f t="shared" si="17"/>
        <v>0</v>
      </c>
      <c r="D37" s="56">
        <f t="shared" si="17"/>
        <v>1.3099082305557044</v>
      </c>
      <c r="E37" s="56">
        <f t="shared" si="16"/>
        <v>2.7410101037896784</v>
      </c>
      <c r="F37" s="56">
        <f t="shared" si="16"/>
        <v>4.084786458157617</v>
      </c>
      <c r="G37" s="56">
        <f t="shared" si="16"/>
        <v>3.7220730046726409</v>
      </c>
      <c r="H37" s="56">
        <f t="shared" si="16"/>
        <v>3.2805115374758413</v>
      </c>
      <c r="I37" s="56">
        <f t="shared" si="16"/>
        <v>2.8834512869338988</v>
      </c>
      <c r="J37" s="56">
        <f t="shared" si="16"/>
        <v>2.5333740843002115</v>
      </c>
      <c r="K37" s="56">
        <f t="shared" si="16"/>
        <v>2.2105165577542913</v>
      </c>
      <c r="L37" s="56">
        <f t="shared" si="16"/>
        <v>2.0978836942347296</v>
      </c>
      <c r="M37" s="56">
        <f t="shared" si="16"/>
        <v>1.8374676808450914</v>
      </c>
      <c r="N37" s="56">
        <f t="shared" si="16"/>
        <v>1.604805443524765</v>
      </c>
      <c r="O37" s="56">
        <f t="shared" si="16"/>
        <v>1.3862032036783734</v>
      </c>
      <c r="P37" s="56">
        <f t="shared" si="16"/>
        <v>1.179252316436938</v>
      </c>
      <c r="Q37" s="56">
        <f t="shared" si="16"/>
        <v>0.98221327383607815</v>
      </c>
      <c r="R37" s="56">
        <f t="shared" si="16"/>
        <v>0.90669241152818458</v>
      </c>
      <c r="S37" s="56">
        <f t="shared" si="16"/>
        <v>0.7309672058957517</v>
      </c>
      <c r="T37" s="56">
        <f t="shared" si="16"/>
        <v>0.56601912405342969</v>
      </c>
      <c r="U37" s="56">
        <f t="shared" si="16"/>
        <v>0.40456731172190802</v>
      </c>
      <c r="V37" s="56">
        <f t="shared" si="16"/>
        <v>0.24622869728384172</v>
      </c>
      <c r="W37" s="56">
        <f t="shared" si="16"/>
        <v>9.5470131141857317E-2</v>
      </c>
      <c r="X37" s="56">
        <f t="shared" si="16"/>
        <v>8.1879096319803932E-2</v>
      </c>
      <c r="Y37" s="56">
        <f t="shared" si="16"/>
        <v>6.9296967228926323E-2</v>
      </c>
      <c r="Z37" s="56">
        <f t="shared" si="16"/>
        <v>5.7642980351326485E-2</v>
      </c>
      <c r="AA37" s="56">
        <f t="shared" si="16"/>
        <v>4.7017076538370388E-2</v>
      </c>
      <c r="AB37" s="56">
        <f t="shared" si="16"/>
        <v>3.6840867743958505E-2</v>
      </c>
      <c r="AC37" s="56">
        <f t="shared" si="16"/>
        <v>2.7081345571970988E-2</v>
      </c>
      <c r="AD37" s="56">
        <f t="shared" si="16"/>
        <v>1.770736062481831E-2</v>
      </c>
      <c r="AE37" s="56">
        <f t="shared" si="16"/>
        <v>8.689504690703613E-3</v>
      </c>
      <c r="AF37" s="56">
        <f t="shared" si="16"/>
        <v>0</v>
      </c>
      <c r="AG37" s="53"/>
      <c r="AH37" s="53"/>
      <c r="AI37" s="53"/>
      <c r="AJ37" s="53"/>
      <c r="AK37" s="53"/>
      <c r="AL37" s="53"/>
      <c r="AM37" s="53"/>
      <c r="AN37" s="53"/>
      <c r="AO37" s="53"/>
      <c r="AP37" s="53"/>
      <c r="AQ37" s="53"/>
      <c r="AR37" s="53"/>
      <c r="AS37" s="53"/>
      <c r="AT37" s="53"/>
      <c r="AU37" s="53"/>
      <c r="AV37" s="53"/>
      <c r="AW37" s="53"/>
      <c r="AX37" s="53"/>
      <c r="AY37" s="53"/>
      <c r="AZ37" s="54"/>
    </row>
    <row r="38" spans="1:52" s="31" customFormat="1" ht="16.5" x14ac:dyDescent="0.45">
      <c r="A38" s="36" t="s">
        <v>182</v>
      </c>
      <c r="B38" s="37"/>
      <c r="C38" s="55">
        <f t="shared" si="17"/>
        <v>30.2</v>
      </c>
      <c r="D38" s="55">
        <f t="shared" si="17"/>
        <v>31</v>
      </c>
      <c r="E38" s="55">
        <f t="shared" si="16"/>
        <v>31.22</v>
      </c>
      <c r="F38" s="55">
        <f t="shared" si="16"/>
        <v>30.7</v>
      </c>
      <c r="G38" s="55">
        <f t="shared" si="16"/>
        <v>30</v>
      </c>
      <c r="H38" s="55">
        <f t="shared" si="16"/>
        <v>29.799999999999997</v>
      </c>
      <c r="I38" s="55">
        <f t="shared" si="16"/>
        <v>29.799999999999997</v>
      </c>
      <c r="J38" s="55">
        <f t="shared" si="16"/>
        <v>29.799999999999997</v>
      </c>
      <c r="K38" s="55">
        <f t="shared" si="16"/>
        <v>29.799999999999997</v>
      </c>
      <c r="L38" s="55">
        <f t="shared" si="16"/>
        <v>29.799999999999997</v>
      </c>
      <c r="M38" s="55">
        <f t="shared" si="16"/>
        <v>31</v>
      </c>
      <c r="N38" s="55">
        <f t="shared" si="16"/>
        <v>31</v>
      </c>
      <c r="O38" s="55">
        <f t="shared" si="16"/>
        <v>31</v>
      </c>
      <c r="P38" s="55">
        <f t="shared" si="16"/>
        <v>31</v>
      </c>
      <c r="Q38" s="55">
        <f t="shared" si="16"/>
        <v>31</v>
      </c>
      <c r="R38" s="55">
        <f t="shared" si="16"/>
        <v>31</v>
      </c>
      <c r="S38" s="55">
        <f t="shared" si="16"/>
        <v>31</v>
      </c>
      <c r="T38" s="55">
        <f t="shared" si="16"/>
        <v>31</v>
      </c>
      <c r="U38" s="55">
        <f t="shared" si="16"/>
        <v>31</v>
      </c>
      <c r="V38" s="55">
        <f t="shared" si="16"/>
        <v>31</v>
      </c>
      <c r="W38" s="55">
        <f t="shared" si="16"/>
        <v>31</v>
      </c>
      <c r="X38" s="55">
        <f t="shared" si="16"/>
        <v>31</v>
      </c>
      <c r="Y38" s="55">
        <f t="shared" si="16"/>
        <v>31</v>
      </c>
      <c r="Z38" s="55">
        <f t="shared" si="16"/>
        <v>31</v>
      </c>
      <c r="AA38" s="55">
        <f t="shared" si="16"/>
        <v>31</v>
      </c>
      <c r="AB38" s="55">
        <f t="shared" si="16"/>
        <v>31</v>
      </c>
      <c r="AC38" s="55">
        <f t="shared" si="16"/>
        <v>31</v>
      </c>
      <c r="AD38" s="55">
        <f t="shared" si="16"/>
        <v>31</v>
      </c>
      <c r="AE38" s="55">
        <f t="shared" si="16"/>
        <v>31</v>
      </c>
      <c r="AF38" s="55">
        <f t="shared" si="16"/>
        <v>31</v>
      </c>
      <c r="AG38" s="53"/>
      <c r="AH38" s="53"/>
      <c r="AI38" s="53"/>
      <c r="AJ38" s="53"/>
      <c r="AK38" s="53"/>
      <c r="AL38" s="53"/>
      <c r="AM38" s="53"/>
      <c r="AN38" s="53"/>
      <c r="AO38" s="53"/>
      <c r="AP38" s="53"/>
      <c r="AQ38" s="53"/>
      <c r="AR38" s="53"/>
      <c r="AS38" s="53"/>
      <c r="AT38" s="53"/>
      <c r="AU38" s="53"/>
      <c r="AV38" s="53"/>
      <c r="AW38" s="53"/>
      <c r="AX38" s="53"/>
      <c r="AY38" s="53"/>
      <c r="AZ38" s="54"/>
    </row>
    <row r="39" spans="1:52" s="31" customFormat="1" ht="16.5" x14ac:dyDescent="0.45">
      <c r="A39" s="36" t="s">
        <v>183</v>
      </c>
      <c r="B39" s="37"/>
      <c r="C39" s="55">
        <f t="shared" si="17"/>
        <v>32.334900621056569</v>
      </c>
      <c r="D39" s="55">
        <f t="shared" si="17"/>
        <v>33.077641872423044</v>
      </c>
      <c r="E39" s="55">
        <f t="shared" si="16"/>
        <v>33.058259457849061</v>
      </c>
      <c r="F39" s="55">
        <f t="shared" si="16"/>
        <v>34.06570044746293</v>
      </c>
      <c r="G39" s="55">
        <f t="shared" si="16"/>
        <v>33.200000000000003</v>
      </c>
      <c r="H39" s="55">
        <f t="shared" si="16"/>
        <v>33.1</v>
      </c>
      <c r="I39" s="55">
        <f t="shared" si="16"/>
        <v>32.9</v>
      </c>
      <c r="J39" s="55">
        <f t="shared" si="16"/>
        <v>32.799999999999997</v>
      </c>
      <c r="K39" s="55">
        <f t="shared" si="16"/>
        <v>32.6</v>
      </c>
      <c r="L39" s="55">
        <f t="shared" si="16"/>
        <v>32.5</v>
      </c>
      <c r="M39" s="55">
        <f t="shared" si="16"/>
        <v>33.500000000000007</v>
      </c>
      <c r="N39" s="55">
        <f t="shared" si="16"/>
        <v>33.5</v>
      </c>
      <c r="O39" s="55">
        <f t="shared" si="16"/>
        <v>33.5</v>
      </c>
      <c r="P39" s="55">
        <f t="shared" si="16"/>
        <v>33.5</v>
      </c>
      <c r="Q39" s="55">
        <f t="shared" si="16"/>
        <v>33.5</v>
      </c>
      <c r="R39" s="55">
        <f t="shared" si="16"/>
        <v>33.5</v>
      </c>
      <c r="S39" s="55">
        <f t="shared" si="16"/>
        <v>33.5</v>
      </c>
      <c r="T39" s="55">
        <f t="shared" si="16"/>
        <v>33.5</v>
      </c>
      <c r="U39" s="55">
        <f t="shared" si="16"/>
        <v>33.5</v>
      </c>
      <c r="V39" s="55">
        <f t="shared" si="16"/>
        <v>33.5</v>
      </c>
      <c r="W39" s="55">
        <f t="shared" si="16"/>
        <v>33.5</v>
      </c>
      <c r="X39" s="55">
        <f t="shared" si="16"/>
        <v>33.5</v>
      </c>
      <c r="Y39" s="55">
        <f t="shared" si="16"/>
        <v>33.5</v>
      </c>
      <c r="Z39" s="55">
        <f t="shared" si="16"/>
        <v>33.5</v>
      </c>
      <c r="AA39" s="55">
        <f t="shared" si="16"/>
        <v>33.5</v>
      </c>
      <c r="AB39" s="55">
        <f t="shared" si="16"/>
        <v>33.5</v>
      </c>
      <c r="AC39" s="55">
        <f t="shared" si="16"/>
        <v>33.5</v>
      </c>
      <c r="AD39" s="55">
        <f t="shared" si="16"/>
        <v>33.5</v>
      </c>
      <c r="AE39" s="55">
        <f t="shared" si="16"/>
        <v>33.5</v>
      </c>
      <c r="AF39" s="55">
        <f t="shared" si="16"/>
        <v>33.5</v>
      </c>
      <c r="AG39" s="53"/>
      <c r="AH39" s="53"/>
      <c r="AI39" s="53"/>
      <c r="AJ39" s="53"/>
      <c r="AK39" s="53"/>
      <c r="AL39" s="53"/>
      <c r="AM39" s="53"/>
      <c r="AN39" s="53"/>
      <c r="AO39" s="53"/>
      <c r="AP39" s="53"/>
      <c r="AQ39" s="53"/>
      <c r="AR39" s="53"/>
      <c r="AS39" s="53"/>
      <c r="AT39" s="53"/>
      <c r="AU39" s="53"/>
      <c r="AV39" s="53"/>
      <c r="AW39" s="53"/>
      <c r="AX39" s="53"/>
      <c r="AY39" s="53"/>
      <c r="AZ39" s="54"/>
    </row>
    <row r="40" spans="1:52" s="31" customFormat="1" ht="16.5" x14ac:dyDescent="0.45">
      <c r="A40" s="36" t="s">
        <v>184</v>
      </c>
      <c r="B40" s="37"/>
      <c r="C40" s="55">
        <f t="shared" si="17"/>
        <v>2</v>
      </c>
      <c r="D40" s="55">
        <f t="shared" si="17"/>
        <v>2</v>
      </c>
      <c r="E40" s="55">
        <f t="shared" si="16"/>
        <v>2</v>
      </c>
      <c r="F40" s="55">
        <f t="shared" si="16"/>
        <v>2.0116984325780907</v>
      </c>
      <c r="G40" s="55">
        <f t="shared" si="16"/>
        <v>2</v>
      </c>
      <c r="H40" s="55">
        <f t="shared" si="16"/>
        <v>2</v>
      </c>
      <c r="I40" s="55">
        <f t="shared" si="16"/>
        <v>2</v>
      </c>
      <c r="J40" s="55">
        <f t="shared" si="16"/>
        <v>2</v>
      </c>
      <c r="K40" s="55">
        <f t="shared" si="16"/>
        <v>2</v>
      </c>
      <c r="L40" s="55">
        <f t="shared" si="16"/>
        <v>2</v>
      </c>
      <c r="M40" s="55">
        <f t="shared" si="16"/>
        <v>2</v>
      </c>
      <c r="N40" s="55">
        <f t="shared" si="16"/>
        <v>2</v>
      </c>
      <c r="O40" s="55">
        <f t="shared" si="16"/>
        <v>2</v>
      </c>
      <c r="P40" s="55">
        <f t="shared" si="16"/>
        <v>2</v>
      </c>
      <c r="Q40" s="55">
        <f t="shared" si="16"/>
        <v>2</v>
      </c>
      <c r="R40" s="55">
        <f t="shared" si="16"/>
        <v>2</v>
      </c>
      <c r="S40" s="55">
        <f t="shared" si="16"/>
        <v>2</v>
      </c>
      <c r="T40" s="55">
        <f t="shared" si="16"/>
        <v>2</v>
      </c>
      <c r="U40" s="55">
        <f t="shared" si="16"/>
        <v>2</v>
      </c>
      <c r="V40" s="55">
        <f t="shared" si="16"/>
        <v>2</v>
      </c>
      <c r="W40" s="55">
        <f t="shared" si="16"/>
        <v>2</v>
      </c>
      <c r="X40" s="55">
        <f t="shared" si="16"/>
        <v>2</v>
      </c>
      <c r="Y40" s="55">
        <f t="shared" si="16"/>
        <v>2</v>
      </c>
      <c r="Z40" s="55">
        <f t="shared" si="16"/>
        <v>2</v>
      </c>
      <c r="AA40" s="55">
        <f t="shared" si="16"/>
        <v>2</v>
      </c>
      <c r="AB40" s="55">
        <f t="shared" si="16"/>
        <v>2</v>
      </c>
      <c r="AC40" s="55">
        <f t="shared" si="16"/>
        <v>2</v>
      </c>
      <c r="AD40" s="55">
        <f t="shared" si="16"/>
        <v>2</v>
      </c>
      <c r="AE40" s="55">
        <f t="shared" si="16"/>
        <v>2</v>
      </c>
      <c r="AF40" s="55">
        <f t="shared" si="16"/>
        <v>2</v>
      </c>
      <c r="AG40" s="53"/>
      <c r="AH40" s="53"/>
      <c r="AI40" s="53"/>
      <c r="AJ40" s="53"/>
      <c r="AK40" s="53"/>
      <c r="AL40" s="53"/>
      <c r="AM40" s="53"/>
      <c r="AN40" s="53"/>
      <c r="AO40" s="53"/>
      <c r="AP40" s="53"/>
      <c r="AQ40" s="53"/>
      <c r="AR40" s="53"/>
      <c r="AS40" s="53"/>
      <c r="AT40" s="53"/>
      <c r="AU40" s="53"/>
      <c r="AV40" s="53"/>
      <c r="AW40" s="53"/>
      <c r="AX40" s="53"/>
      <c r="AY40" s="53"/>
      <c r="AZ40" s="54"/>
    </row>
    <row r="41" spans="1:52" s="31" customFormat="1" ht="16.5" x14ac:dyDescent="0.45">
      <c r="A41" s="36" t="s">
        <v>185</v>
      </c>
      <c r="B41" s="37"/>
      <c r="C41" s="55">
        <f t="shared" si="17"/>
        <v>24.334900621056569</v>
      </c>
      <c r="D41" s="55">
        <f t="shared" si="17"/>
        <v>25.077641872423033</v>
      </c>
      <c r="E41" s="55">
        <f t="shared" si="16"/>
        <v>24.058259457849061</v>
      </c>
      <c r="F41" s="55">
        <f t="shared" si="16"/>
        <v>24.052626188023162</v>
      </c>
      <c r="G41" s="55">
        <f t="shared" si="16"/>
        <v>24.000000000000004</v>
      </c>
      <c r="H41" s="55">
        <f t="shared" si="16"/>
        <v>24</v>
      </c>
      <c r="I41" s="55">
        <f t="shared" si="16"/>
        <v>24.015000000000001</v>
      </c>
      <c r="J41" s="55">
        <f t="shared" si="16"/>
        <v>24.03</v>
      </c>
      <c r="K41" s="55">
        <f t="shared" si="16"/>
        <v>24.044999999999998</v>
      </c>
      <c r="L41" s="55">
        <f t="shared" si="16"/>
        <v>24.060000000000002</v>
      </c>
      <c r="M41" s="55">
        <f t="shared" si="16"/>
        <v>24.075000000000003</v>
      </c>
      <c r="N41" s="55">
        <f t="shared" si="16"/>
        <v>24.090000000000003</v>
      </c>
      <c r="O41" s="55">
        <f t="shared" si="16"/>
        <v>24.105000000000004</v>
      </c>
      <c r="P41" s="55">
        <f t="shared" si="16"/>
        <v>24.120000000000005</v>
      </c>
      <c r="Q41" s="55">
        <f t="shared" si="16"/>
        <v>24.135000000000005</v>
      </c>
      <c r="R41" s="55">
        <f t="shared" si="16"/>
        <v>24.150000000000002</v>
      </c>
      <c r="S41" s="55">
        <f t="shared" si="16"/>
        <v>24.16500000000001</v>
      </c>
      <c r="T41" s="55">
        <f t="shared" si="16"/>
        <v>24.180000000000007</v>
      </c>
      <c r="U41" s="55">
        <f t="shared" si="16"/>
        <v>24.195000000000011</v>
      </c>
      <c r="V41" s="55">
        <f t="shared" si="16"/>
        <v>24.210000000000008</v>
      </c>
      <c r="W41" s="55">
        <f t="shared" si="16"/>
        <v>24.225000000000009</v>
      </c>
      <c r="X41" s="55">
        <f t="shared" si="16"/>
        <v>24.240000000000009</v>
      </c>
      <c r="Y41" s="55">
        <f t="shared" si="16"/>
        <v>24.25500000000001</v>
      </c>
      <c r="Z41" s="55">
        <f t="shared" si="16"/>
        <v>24.27000000000001</v>
      </c>
      <c r="AA41" s="55">
        <f t="shared" si="16"/>
        <v>24.285000000000011</v>
      </c>
      <c r="AB41" s="55">
        <f t="shared" si="16"/>
        <v>24.300000000000015</v>
      </c>
      <c r="AC41" s="55">
        <f t="shared" si="16"/>
        <v>24.315000000000008</v>
      </c>
      <c r="AD41" s="55">
        <f t="shared" si="16"/>
        <v>24.330000000000013</v>
      </c>
      <c r="AE41" s="55">
        <f t="shared" si="16"/>
        <v>24.345000000000017</v>
      </c>
      <c r="AF41" s="55">
        <f t="shared" si="16"/>
        <v>24.360000000000014</v>
      </c>
      <c r="AG41" s="53"/>
      <c r="AH41" s="53"/>
      <c r="AI41" s="53"/>
      <c r="AJ41" s="53"/>
      <c r="AK41" s="53"/>
      <c r="AL41" s="53"/>
      <c r="AM41" s="53"/>
      <c r="AN41" s="53"/>
      <c r="AO41" s="53"/>
      <c r="AP41" s="53"/>
      <c r="AQ41" s="53"/>
      <c r="AR41" s="53"/>
      <c r="AS41" s="53"/>
      <c r="AT41" s="53"/>
      <c r="AU41" s="53"/>
      <c r="AV41" s="53"/>
      <c r="AW41" s="53"/>
      <c r="AX41" s="53"/>
      <c r="AY41" s="53"/>
      <c r="AZ41" s="54"/>
    </row>
    <row r="42" spans="1:52" s="31" customFormat="1" ht="16.5" x14ac:dyDescent="0.45">
      <c r="A42" s="36" t="s">
        <v>186</v>
      </c>
      <c r="B42" s="37"/>
      <c r="C42" s="55">
        <f t="shared" si="17"/>
        <v>6</v>
      </c>
      <c r="D42" s="55">
        <f t="shared" si="17"/>
        <v>6</v>
      </c>
      <c r="E42" s="55">
        <f t="shared" si="16"/>
        <v>7.0000000000000009</v>
      </c>
      <c r="F42" s="55">
        <f t="shared" si="16"/>
        <v>8.0013758268616861</v>
      </c>
      <c r="G42" s="55">
        <f t="shared" si="16"/>
        <v>7.200000000000002</v>
      </c>
      <c r="H42" s="55">
        <f t="shared" ref="H42:AF44" si="18">(H17/H$4)*100</f>
        <v>7.1000000000000005</v>
      </c>
      <c r="I42" s="55">
        <f t="shared" si="18"/>
        <v>6.884999999999998</v>
      </c>
      <c r="J42" s="55">
        <f t="shared" si="18"/>
        <v>6.7699999999999951</v>
      </c>
      <c r="K42" s="55">
        <f t="shared" si="18"/>
        <v>7.7162950465264046</v>
      </c>
      <c r="L42" s="55">
        <f t="shared" si="18"/>
        <v>7.6400000000000006</v>
      </c>
      <c r="M42" s="55">
        <f t="shared" si="18"/>
        <v>7.4249999999999972</v>
      </c>
      <c r="N42" s="55">
        <f t="shared" si="18"/>
        <v>7.4099999999999975</v>
      </c>
      <c r="O42" s="55">
        <f t="shared" si="18"/>
        <v>7.394999999999996</v>
      </c>
      <c r="P42" s="55">
        <f t="shared" si="18"/>
        <v>7.3799999999999946</v>
      </c>
      <c r="Q42" s="55">
        <f t="shared" si="18"/>
        <v>7.3649999999999949</v>
      </c>
      <c r="R42" s="55">
        <f t="shared" si="18"/>
        <v>7.3499999999999943</v>
      </c>
      <c r="S42" s="55">
        <f t="shared" si="18"/>
        <v>7.3349999999999946</v>
      </c>
      <c r="T42" s="55">
        <f t="shared" si="18"/>
        <v>7.3199999999999932</v>
      </c>
      <c r="U42" s="55">
        <f t="shared" si="18"/>
        <v>7.3049999999999917</v>
      </c>
      <c r="V42" s="55">
        <f t="shared" si="18"/>
        <v>7.289999999999992</v>
      </c>
      <c r="W42" s="55">
        <f t="shared" si="18"/>
        <v>7.2749999999999915</v>
      </c>
      <c r="X42" s="55">
        <f t="shared" si="18"/>
        <v>7.2599999999999918</v>
      </c>
      <c r="Y42" s="55">
        <f t="shared" si="18"/>
        <v>7.2449999999999921</v>
      </c>
      <c r="Z42" s="55">
        <f t="shared" si="18"/>
        <v>7.2299999999999889</v>
      </c>
      <c r="AA42" s="55">
        <f t="shared" si="18"/>
        <v>7.2149999999999892</v>
      </c>
      <c r="AB42" s="55">
        <f t="shared" si="18"/>
        <v>7.1999999999999886</v>
      </c>
      <c r="AC42" s="55">
        <f t="shared" si="18"/>
        <v>7.184999999999989</v>
      </c>
      <c r="AD42" s="55">
        <f t="shared" si="18"/>
        <v>7.1699999999999875</v>
      </c>
      <c r="AE42" s="55">
        <f t="shared" si="18"/>
        <v>7.154999999999986</v>
      </c>
      <c r="AF42" s="55">
        <f t="shared" si="18"/>
        <v>7.1399999999999864</v>
      </c>
      <c r="AG42" s="53"/>
      <c r="AH42" s="53"/>
      <c r="AI42" s="53"/>
      <c r="AJ42" s="53"/>
      <c r="AK42" s="53"/>
      <c r="AL42" s="53"/>
      <c r="AM42" s="53"/>
      <c r="AN42" s="53"/>
      <c r="AO42" s="53"/>
      <c r="AP42" s="53"/>
      <c r="AQ42" s="53"/>
      <c r="AR42" s="53"/>
      <c r="AS42" s="53"/>
      <c r="AT42" s="53"/>
      <c r="AU42" s="53"/>
      <c r="AV42" s="53"/>
      <c r="AW42" s="53"/>
      <c r="AX42" s="53"/>
      <c r="AY42" s="53"/>
      <c r="AZ42" s="54"/>
    </row>
    <row r="43" spans="1:52" s="31" customFormat="1" ht="16.5" x14ac:dyDescent="0.45">
      <c r="A43" s="45" t="s">
        <v>187</v>
      </c>
      <c r="B43" s="37"/>
      <c r="C43" s="56">
        <f t="shared" si="17"/>
        <v>0</v>
      </c>
      <c r="D43" s="56">
        <f t="shared" si="17"/>
        <v>1.3099082305557044</v>
      </c>
      <c r="E43" s="56">
        <f t="shared" si="17"/>
        <v>1.5958769937619903</v>
      </c>
      <c r="F43" s="56">
        <f t="shared" si="17"/>
        <v>1.627361449907714</v>
      </c>
      <c r="G43" s="56">
        <f t="shared" si="17"/>
        <v>0.20678183359292449</v>
      </c>
      <c r="H43" s="56">
        <f t="shared" si="17"/>
        <v>0</v>
      </c>
      <c r="I43" s="56">
        <f t="shared" si="17"/>
        <v>0</v>
      </c>
      <c r="J43" s="56">
        <f t="shared" si="17"/>
        <v>0</v>
      </c>
      <c r="K43" s="56">
        <f t="shared" si="17"/>
        <v>0</v>
      </c>
      <c r="L43" s="56">
        <f t="shared" si="17"/>
        <v>0</v>
      </c>
      <c r="M43" s="56">
        <f t="shared" si="17"/>
        <v>0</v>
      </c>
      <c r="N43" s="56">
        <f t="shared" si="17"/>
        <v>0</v>
      </c>
      <c r="O43" s="56">
        <f t="shared" si="17"/>
        <v>0</v>
      </c>
      <c r="P43" s="56">
        <f t="shared" si="17"/>
        <v>0</v>
      </c>
      <c r="Q43" s="56">
        <f t="shared" si="17"/>
        <v>0</v>
      </c>
      <c r="R43" s="56">
        <f t="shared" si="17"/>
        <v>0</v>
      </c>
      <c r="S43" s="56">
        <f t="shared" si="18"/>
        <v>0</v>
      </c>
      <c r="T43" s="56">
        <f t="shared" si="18"/>
        <v>0</v>
      </c>
      <c r="U43" s="56">
        <f t="shared" si="18"/>
        <v>0</v>
      </c>
      <c r="V43" s="56">
        <f t="shared" si="18"/>
        <v>0</v>
      </c>
      <c r="W43" s="56">
        <f t="shared" si="18"/>
        <v>0</v>
      </c>
      <c r="X43" s="56">
        <f t="shared" si="18"/>
        <v>0</v>
      </c>
      <c r="Y43" s="56">
        <f t="shared" si="18"/>
        <v>0</v>
      </c>
      <c r="Z43" s="56">
        <f t="shared" si="18"/>
        <v>0</v>
      </c>
      <c r="AA43" s="56">
        <f t="shared" si="18"/>
        <v>0</v>
      </c>
      <c r="AB43" s="56">
        <f t="shared" si="18"/>
        <v>0</v>
      </c>
      <c r="AC43" s="56">
        <f t="shared" si="18"/>
        <v>0</v>
      </c>
      <c r="AD43" s="56">
        <f t="shared" si="18"/>
        <v>0</v>
      </c>
      <c r="AE43" s="56">
        <f t="shared" si="18"/>
        <v>0</v>
      </c>
      <c r="AF43" s="56">
        <f t="shared" si="18"/>
        <v>0</v>
      </c>
      <c r="AG43" s="53"/>
      <c r="AH43" s="53"/>
      <c r="AI43" s="53"/>
      <c r="AJ43" s="53"/>
      <c r="AK43" s="53"/>
      <c r="AL43" s="53"/>
      <c r="AM43" s="53"/>
      <c r="AN43" s="53"/>
      <c r="AO43" s="53"/>
      <c r="AP43" s="53"/>
      <c r="AQ43" s="53"/>
      <c r="AR43" s="53"/>
      <c r="AS43" s="53"/>
      <c r="AT43" s="53"/>
      <c r="AU43" s="53"/>
      <c r="AV43" s="53"/>
      <c r="AW43" s="53"/>
      <c r="AX43" s="53"/>
      <c r="AY43" s="53"/>
      <c r="AZ43" s="54"/>
    </row>
    <row r="44" spans="1:52" s="31" customFormat="1" ht="16.5" x14ac:dyDescent="0.45">
      <c r="A44" s="49" t="s">
        <v>188</v>
      </c>
      <c r="B44" s="37"/>
      <c r="C44" s="56">
        <f t="shared" si="17"/>
        <v>0</v>
      </c>
      <c r="D44" s="56">
        <f t="shared" si="17"/>
        <v>0</v>
      </c>
      <c r="E44" s="56">
        <f t="shared" si="17"/>
        <v>0</v>
      </c>
      <c r="F44" s="56">
        <f t="shared" si="17"/>
        <v>0</v>
      </c>
      <c r="G44" s="56">
        <f t="shared" si="17"/>
        <v>0</v>
      </c>
      <c r="H44" s="56">
        <f t="shared" si="17"/>
        <v>0</v>
      </c>
      <c r="I44" s="56">
        <f t="shared" si="17"/>
        <v>0</v>
      </c>
      <c r="J44" s="56">
        <f t="shared" si="17"/>
        <v>0</v>
      </c>
      <c r="K44" s="56">
        <f t="shared" si="17"/>
        <v>0</v>
      </c>
      <c r="L44" s="56">
        <f t="shared" si="17"/>
        <v>0</v>
      </c>
      <c r="M44" s="56">
        <f t="shared" si="17"/>
        <v>0</v>
      </c>
      <c r="N44" s="56">
        <f t="shared" si="17"/>
        <v>0</v>
      </c>
      <c r="O44" s="56">
        <f t="shared" si="17"/>
        <v>0</v>
      </c>
      <c r="P44" s="56">
        <f t="shared" si="17"/>
        <v>0</v>
      </c>
      <c r="Q44" s="56">
        <f t="shared" si="17"/>
        <v>0</v>
      </c>
      <c r="R44" s="56">
        <f t="shared" si="17"/>
        <v>0</v>
      </c>
      <c r="S44" s="56">
        <f t="shared" si="18"/>
        <v>0</v>
      </c>
      <c r="T44" s="56">
        <f t="shared" si="18"/>
        <v>0</v>
      </c>
      <c r="U44" s="56">
        <f t="shared" si="18"/>
        <v>0</v>
      </c>
      <c r="V44" s="56">
        <f t="shared" si="18"/>
        <v>0</v>
      </c>
      <c r="W44" s="56">
        <f t="shared" si="18"/>
        <v>0</v>
      </c>
      <c r="X44" s="56">
        <f t="shared" si="18"/>
        <v>0</v>
      </c>
      <c r="Y44" s="56">
        <f t="shared" si="18"/>
        <v>0</v>
      </c>
      <c r="Z44" s="56">
        <f t="shared" si="18"/>
        <v>0</v>
      </c>
      <c r="AA44" s="56">
        <f t="shared" si="18"/>
        <v>0</v>
      </c>
      <c r="AB44" s="56">
        <f t="shared" si="18"/>
        <v>0</v>
      </c>
      <c r="AC44" s="56">
        <f t="shared" si="18"/>
        <v>0</v>
      </c>
      <c r="AD44" s="56">
        <f t="shared" si="18"/>
        <v>0</v>
      </c>
      <c r="AE44" s="56">
        <f t="shared" si="18"/>
        <v>0</v>
      </c>
      <c r="AF44" s="56">
        <f t="shared" si="18"/>
        <v>0</v>
      </c>
      <c r="AG44" s="53"/>
      <c r="AH44" s="53"/>
      <c r="AI44" s="53"/>
      <c r="AJ44" s="53"/>
      <c r="AK44" s="53"/>
      <c r="AL44" s="53"/>
      <c r="AM44" s="53"/>
      <c r="AN44" s="53"/>
      <c r="AO44" s="53"/>
      <c r="AP44" s="53"/>
      <c r="AQ44" s="53"/>
      <c r="AR44" s="53"/>
      <c r="AS44" s="53"/>
      <c r="AT44" s="53"/>
      <c r="AU44" s="53"/>
      <c r="AV44" s="53"/>
      <c r="AW44" s="53"/>
      <c r="AX44" s="53"/>
      <c r="AY44" s="53"/>
      <c r="AZ44" s="54"/>
    </row>
    <row r="45" spans="1:52" s="31" customFormat="1" ht="16.5" x14ac:dyDescent="0.45">
      <c r="A45" s="36"/>
      <c r="B45" s="37"/>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4"/>
    </row>
    <row r="46" spans="1:52" s="31" customFormat="1" ht="17" thickBot="1" x14ac:dyDescent="0.5">
      <c r="A46" s="57"/>
      <c r="B46" s="58"/>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60"/>
    </row>
    <row r="49" spans="1:52" s="31" customFormat="1" ht="16.5" hidden="1" x14ac:dyDescent="0.45">
      <c r="A49" s="32" t="s">
        <v>195</v>
      </c>
      <c r="B49" s="33"/>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5"/>
    </row>
    <row r="50" spans="1:52" ht="16.5" hidden="1" x14ac:dyDescent="0.45">
      <c r="A50" s="61" t="s">
        <v>196</v>
      </c>
    </row>
    <row r="51" spans="1:52" hidden="1" x14ac:dyDescent="0.35">
      <c r="A51" s="62" t="s">
        <v>197</v>
      </c>
      <c r="F51" s="63" t="s">
        <v>198</v>
      </c>
      <c r="G51" s="63"/>
      <c r="H51" s="63"/>
    </row>
    <row r="52" spans="1:52" hidden="1" x14ac:dyDescent="0.35">
      <c r="A52" s="62" t="s">
        <v>199</v>
      </c>
      <c r="F52" s="63" t="s">
        <v>200</v>
      </c>
      <c r="G52" s="63"/>
      <c r="H52" s="63"/>
    </row>
    <row r="53" spans="1:52" hidden="1" x14ac:dyDescent="0.35">
      <c r="A53" s="62"/>
    </row>
    <row r="54" spans="1:52" hidden="1" x14ac:dyDescent="0.35">
      <c r="A54" s="62"/>
      <c r="G54" s="64" t="s">
        <v>201</v>
      </c>
      <c r="H54" s="64" t="s">
        <v>202</v>
      </c>
      <c r="I54" s="64" t="s">
        <v>202</v>
      </c>
      <c r="J54" s="64" t="s">
        <v>202</v>
      </c>
      <c r="K54" s="64" t="s">
        <v>203</v>
      </c>
      <c r="L54" s="64" t="s">
        <v>203</v>
      </c>
      <c r="M54" s="64" t="s">
        <v>203</v>
      </c>
      <c r="N54" s="64" t="s">
        <v>203</v>
      </c>
      <c r="O54" s="64" t="s">
        <v>203</v>
      </c>
      <c r="P54" s="64" t="s">
        <v>203</v>
      </c>
      <c r="Q54" s="64" t="s">
        <v>203</v>
      </c>
      <c r="R54" s="64" t="s">
        <v>203</v>
      </c>
      <c r="S54" s="64" t="s">
        <v>203</v>
      </c>
      <c r="T54" s="64" t="s">
        <v>203</v>
      </c>
      <c r="U54" s="64" t="s">
        <v>203</v>
      </c>
      <c r="V54" s="64" t="s">
        <v>203</v>
      </c>
      <c r="W54" s="64" t="s">
        <v>203</v>
      </c>
      <c r="X54" s="64" t="s">
        <v>203</v>
      </c>
      <c r="Y54" s="64" t="s">
        <v>203</v>
      </c>
      <c r="Z54" s="64" t="s">
        <v>203</v>
      </c>
      <c r="AA54" s="64" t="s">
        <v>203</v>
      </c>
      <c r="AB54" s="64" t="s">
        <v>203</v>
      </c>
      <c r="AC54" s="64" t="s">
        <v>203</v>
      </c>
      <c r="AD54" s="64" t="s">
        <v>203</v>
      </c>
      <c r="AE54" s="64" t="s">
        <v>203</v>
      </c>
      <c r="AF54" s="64" t="s">
        <v>203</v>
      </c>
    </row>
    <row r="55" spans="1:52" hidden="1" x14ac:dyDescent="0.35">
      <c r="A55" s="62" t="s">
        <v>204</v>
      </c>
      <c r="C55">
        <f>+(C13/C4)*100</f>
        <v>30.2</v>
      </c>
      <c r="D55">
        <f t="shared" ref="D55:AF55" si="19">+(D13/D4)*100</f>
        <v>31</v>
      </c>
      <c r="E55">
        <f t="shared" si="19"/>
        <v>31.22</v>
      </c>
      <c r="F55" s="65">
        <f t="shared" si="19"/>
        <v>30.7</v>
      </c>
      <c r="G55">
        <f t="shared" si="19"/>
        <v>30</v>
      </c>
      <c r="H55">
        <f t="shared" si="19"/>
        <v>29.799999999999997</v>
      </c>
      <c r="I55">
        <f t="shared" si="19"/>
        <v>29.799999999999997</v>
      </c>
      <c r="J55">
        <f t="shared" si="19"/>
        <v>29.799999999999997</v>
      </c>
      <c r="K55">
        <f t="shared" si="19"/>
        <v>29.799999999999997</v>
      </c>
      <c r="L55">
        <f t="shared" si="19"/>
        <v>29.799999999999997</v>
      </c>
      <c r="M55">
        <f t="shared" si="19"/>
        <v>31</v>
      </c>
      <c r="N55">
        <f t="shared" si="19"/>
        <v>31</v>
      </c>
      <c r="O55">
        <f t="shared" si="19"/>
        <v>31</v>
      </c>
      <c r="P55">
        <f t="shared" si="19"/>
        <v>31</v>
      </c>
      <c r="Q55">
        <f t="shared" si="19"/>
        <v>31</v>
      </c>
      <c r="R55">
        <f t="shared" si="19"/>
        <v>31</v>
      </c>
      <c r="S55">
        <f t="shared" si="19"/>
        <v>31</v>
      </c>
      <c r="T55">
        <f t="shared" si="19"/>
        <v>31</v>
      </c>
      <c r="U55">
        <f t="shared" si="19"/>
        <v>31</v>
      </c>
      <c r="V55">
        <f t="shared" si="19"/>
        <v>31</v>
      </c>
      <c r="W55">
        <f t="shared" si="19"/>
        <v>31</v>
      </c>
      <c r="X55">
        <f t="shared" si="19"/>
        <v>31</v>
      </c>
      <c r="Y55">
        <f t="shared" si="19"/>
        <v>31</v>
      </c>
      <c r="Z55">
        <f t="shared" si="19"/>
        <v>31</v>
      </c>
      <c r="AA55">
        <f t="shared" si="19"/>
        <v>31</v>
      </c>
      <c r="AB55">
        <f t="shared" si="19"/>
        <v>31</v>
      </c>
      <c r="AC55">
        <f t="shared" si="19"/>
        <v>31</v>
      </c>
      <c r="AD55">
        <f t="shared" si="19"/>
        <v>31</v>
      </c>
      <c r="AE55">
        <f t="shared" si="19"/>
        <v>31</v>
      </c>
      <c r="AF55">
        <f t="shared" si="19"/>
        <v>31</v>
      </c>
    </row>
    <row r="56" spans="1:52" hidden="1" x14ac:dyDescent="0.35">
      <c r="A56" s="62" t="s">
        <v>205</v>
      </c>
      <c r="C56" s="66">
        <f>+(C14/C4)*100</f>
        <v>32.334900621056569</v>
      </c>
      <c r="D56" s="66">
        <f t="shared" ref="D56:AF56" si="20">+(D14/D4)*100</f>
        <v>33.077641872423044</v>
      </c>
      <c r="E56" s="66">
        <f t="shared" si="20"/>
        <v>33.058259457849061</v>
      </c>
      <c r="F56" s="67">
        <f t="shared" si="20"/>
        <v>34.06570044746293</v>
      </c>
      <c r="G56" s="66">
        <f t="shared" si="20"/>
        <v>33.200000000000003</v>
      </c>
      <c r="H56" s="66">
        <f t="shared" si="20"/>
        <v>33.1</v>
      </c>
      <c r="I56" s="66">
        <f t="shared" si="20"/>
        <v>32.9</v>
      </c>
      <c r="J56" s="66">
        <f t="shared" si="20"/>
        <v>32.799999999999997</v>
      </c>
      <c r="K56" s="66">
        <f t="shared" si="20"/>
        <v>32.6</v>
      </c>
      <c r="L56" s="66">
        <f t="shared" si="20"/>
        <v>32.5</v>
      </c>
      <c r="M56" s="66">
        <f t="shared" si="20"/>
        <v>33.500000000000007</v>
      </c>
      <c r="N56" s="66">
        <f t="shared" si="20"/>
        <v>33.5</v>
      </c>
      <c r="O56" s="66">
        <f t="shared" si="20"/>
        <v>33.5</v>
      </c>
      <c r="P56" s="66">
        <f t="shared" si="20"/>
        <v>33.5</v>
      </c>
      <c r="Q56" s="66">
        <f t="shared" si="20"/>
        <v>33.5</v>
      </c>
      <c r="R56" s="66">
        <f t="shared" si="20"/>
        <v>33.5</v>
      </c>
      <c r="S56" s="66">
        <f t="shared" si="20"/>
        <v>33.5</v>
      </c>
      <c r="T56" s="66">
        <f t="shared" si="20"/>
        <v>33.5</v>
      </c>
      <c r="U56" s="66">
        <f t="shared" si="20"/>
        <v>33.5</v>
      </c>
      <c r="V56" s="66">
        <f t="shared" si="20"/>
        <v>33.5</v>
      </c>
      <c r="W56" s="66">
        <f t="shared" si="20"/>
        <v>33.5</v>
      </c>
      <c r="X56" s="66">
        <f t="shared" si="20"/>
        <v>33.5</v>
      </c>
      <c r="Y56" s="66">
        <f t="shared" si="20"/>
        <v>33.5</v>
      </c>
      <c r="Z56" s="66">
        <f t="shared" si="20"/>
        <v>33.5</v>
      </c>
      <c r="AA56" s="66">
        <f t="shared" si="20"/>
        <v>33.5</v>
      </c>
      <c r="AB56" s="66">
        <f t="shared" si="20"/>
        <v>33.5</v>
      </c>
      <c r="AC56" s="66">
        <f t="shared" si="20"/>
        <v>33.5</v>
      </c>
      <c r="AD56" s="66">
        <f t="shared" si="20"/>
        <v>33.5</v>
      </c>
      <c r="AE56" s="66">
        <f t="shared" si="20"/>
        <v>33.5</v>
      </c>
      <c r="AF56" s="66">
        <f t="shared" si="20"/>
        <v>33.5</v>
      </c>
    </row>
    <row r="57" spans="1:52" hidden="1" x14ac:dyDescent="0.35">
      <c r="A57" s="68" t="s">
        <v>206</v>
      </c>
      <c r="C57" s="66"/>
      <c r="D57" s="66"/>
      <c r="E57" s="66"/>
      <c r="F57" s="67">
        <f>+F56-F58</f>
        <v>26.06570044746293</v>
      </c>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row>
    <row r="58" spans="1:52" hidden="1" x14ac:dyDescent="0.35">
      <c r="A58" s="68" t="s">
        <v>207</v>
      </c>
      <c r="C58" s="66"/>
      <c r="D58" s="66"/>
      <c r="E58" s="66"/>
      <c r="F58" s="69">
        <f>0.08*100</f>
        <v>8</v>
      </c>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row>
    <row r="59" spans="1:52" hidden="1" x14ac:dyDescent="0.35">
      <c r="A59" t="s">
        <v>208</v>
      </c>
      <c r="C59" s="66">
        <f>+(C9/C4)*100</f>
        <v>-2.1349006210565671</v>
      </c>
      <c r="D59" s="66">
        <f t="shared" ref="D59:AF59" si="21">+(D9/D4)*100</f>
        <v>-2.0776418724230381</v>
      </c>
      <c r="E59" s="66">
        <f t="shared" si="21"/>
        <v>-1.8382594578490619</v>
      </c>
      <c r="F59" s="67">
        <f t="shared" si="21"/>
        <v>-3.3657004474629342</v>
      </c>
      <c r="G59" s="66">
        <f t="shared" si="21"/>
        <v>-3.2</v>
      </c>
      <c r="H59" s="66">
        <f t="shared" si="21"/>
        <v>-3.3000000000000003</v>
      </c>
      <c r="I59" s="66">
        <f t="shared" si="21"/>
        <v>-3.1000000000000005</v>
      </c>
      <c r="J59" s="66">
        <f t="shared" si="21"/>
        <v>-3.0000000000000004</v>
      </c>
      <c r="K59" s="66">
        <f t="shared" si="21"/>
        <v>-2.8</v>
      </c>
      <c r="L59" s="66">
        <f t="shared" si="21"/>
        <v>-2.7</v>
      </c>
      <c r="M59" s="66">
        <f t="shared" si="21"/>
        <v>-2.5</v>
      </c>
      <c r="N59" s="66">
        <f t="shared" si="21"/>
        <v>-2.5</v>
      </c>
      <c r="O59" s="66">
        <f t="shared" si="21"/>
        <v>-2.5</v>
      </c>
      <c r="P59" s="66">
        <f t="shared" si="21"/>
        <v>-2.5</v>
      </c>
      <c r="Q59" s="66">
        <f t="shared" si="21"/>
        <v>-2.5</v>
      </c>
      <c r="R59" s="66">
        <f t="shared" si="21"/>
        <v>-2.5</v>
      </c>
      <c r="S59" s="66">
        <f t="shared" si="21"/>
        <v>-2.5000000000000004</v>
      </c>
      <c r="T59" s="66">
        <f t="shared" si="21"/>
        <v>-2.5</v>
      </c>
      <c r="U59" s="66">
        <f t="shared" si="21"/>
        <v>-2.5</v>
      </c>
      <c r="V59" s="66">
        <f t="shared" si="21"/>
        <v>-2.5</v>
      </c>
      <c r="W59" s="66">
        <f t="shared" si="21"/>
        <v>-2.5000000000000004</v>
      </c>
      <c r="X59" s="66">
        <f t="shared" si="21"/>
        <v>-2.5</v>
      </c>
      <c r="Y59" s="66">
        <f t="shared" si="21"/>
        <v>-2.5</v>
      </c>
      <c r="Z59" s="66">
        <f t="shared" si="21"/>
        <v>-2.5</v>
      </c>
      <c r="AA59" s="66">
        <f t="shared" si="21"/>
        <v>-2.5</v>
      </c>
      <c r="AB59" s="66">
        <f t="shared" si="21"/>
        <v>-2.5</v>
      </c>
      <c r="AC59" s="66">
        <f t="shared" si="21"/>
        <v>-2.5</v>
      </c>
      <c r="AD59" s="66">
        <f t="shared" si="21"/>
        <v>-2.5000000000000004</v>
      </c>
      <c r="AE59" s="66">
        <f t="shared" si="21"/>
        <v>-2.5</v>
      </c>
      <c r="AF59" s="66">
        <f t="shared" si="21"/>
        <v>-2.5</v>
      </c>
    </row>
    <row r="60" spans="1:52" hidden="1" x14ac:dyDescent="0.35">
      <c r="C60" s="66"/>
      <c r="D60" s="66"/>
      <c r="E60" s="66"/>
      <c r="F60" s="67"/>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row>
    <row r="61" spans="1:52" hidden="1" x14ac:dyDescent="0.35">
      <c r="A61" t="s">
        <v>209</v>
      </c>
      <c r="C61" s="66">
        <f>+(C11/C4)*100</f>
        <v>51</v>
      </c>
      <c r="D61" s="66">
        <f t="shared" ref="D61:AF61" si="22">+(D11/D4)*100</f>
        <v>49.689521816457344</v>
      </c>
      <c r="E61" s="66">
        <f t="shared" si="22"/>
        <v>49.40677425826194</v>
      </c>
      <c r="F61" s="67">
        <f t="shared" si="22"/>
        <v>48.511307302260235</v>
      </c>
      <c r="G61" s="66">
        <f t="shared" si="22"/>
        <v>42.947927830255786</v>
      </c>
      <c r="H61" s="66">
        <f t="shared" si="22"/>
        <v>39.219650585799869</v>
      </c>
      <c r="I61" s="66">
        <f t="shared" si="22"/>
        <v>35.912631824631738</v>
      </c>
      <c r="J61" s="66">
        <f t="shared" si="22"/>
        <v>33.146562355200814</v>
      </c>
      <c r="K61" s="66">
        <f t="shared" si="22"/>
        <v>30.573957035072812</v>
      </c>
      <c r="L61" s="66">
        <f t="shared" si="22"/>
        <v>28.368739398255943</v>
      </c>
      <c r="M61" s="66">
        <f t="shared" si="22"/>
        <v>26.360291156112986</v>
      </c>
      <c r="N61" s="66">
        <f t="shared" si="22"/>
        <v>24.72820878319208</v>
      </c>
      <c r="O61" s="66">
        <f t="shared" si="22"/>
        <v>23.290975837043394</v>
      </c>
      <c r="P61" s="66">
        <f t="shared" si="22"/>
        <v>22.005979535589468</v>
      </c>
      <c r="Q61" s="66">
        <f t="shared" si="22"/>
        <v>20.838243563391377</v>
      </c>
      <c r="R61" s="66">
        <f t="shared" si="22"/>
        <v>19.884412617108254</v>
      </c>
      <c r="S61" s="66">
        <f t="shared" si="22"/>
        <v>19.014350667698558</v>
      </c>
      <c r="T61" s="66">
        <f t="shared" si="22"/>
        <v>18.353850392205221</v>
      </c>
      <c r="U61" s="66">
        <f t="shared" si="22"/>
        <v>17.7336623400988</v>
      </c>
      <c r="V61" s="66">
        <f t="shared" si="22"/>
        <v>17.151326140937844</v>
      </c>
      <c r="W61" s="66">
        <f t="shared" si="22"/>
        <v>16.604531587735064</v>
      </c>
      <c r="X61" s="66">
        <f t="shared" si="22"/>
        <v>16.091109472051706</v>
      </c>
      <c r="Y61" s="66">
        <f t="shared" si="22"/>
        <v>15.609022978452305</v>
      </c>
      <c r="Z61" s="66">
        <f t="shared" si="22"/>
        <v>15.156359604180567</v>
      </c>
      <c r="AA61" s="66">
        <f t="shared" si="22"/>
        <v>14.731323572000532</v>
      </c>
      <c r="AB61" s="66">
        <f t="shared" si="22"/>
        <v>14.332228706103789</v>
      </c>
      <c r="AC61" s="66">
        <f t="shared" si="22"/>
        <v>13.95749174282046</v>
      </c>
      <c r="AD61" s="66">
        <f t="shared" si="22"/>
        <v>13.605626049596678</v>
      </c>
      <c r="AE61" s="66">
        <f t="shared" si="22"/>
        <v>13.275235727320824</v>
      </c>
      <c r="AF61" s="66">
        <f t="shared" si="22"/>
        <v>12.965010072601716</v>
      </c>
    </row>
    <row r="62" spans="1:52" hidden="1" x14ac:dyDescent="0.35"/>
    <row r="63" spans="1:52" hidden="1" x14ac:dyDescent="0.35"/>
    <row r="64" spans="1:52" hidden="1" x14ac:dyDescent="0.35">
      <c r="A64" t="s">
        <v>210</v>
      </c>
      <c r="C64">
        <v>2013</v>
      </c>
      <c r="D64">
        <f>C64+1</f>
        <v>2014</v>
      </c>
      <c r="E64">
        <f t="shared" ref="E64:J64" si="23">D64+1</f>
        <v>2015</v>
      </c>
      <c r="F64">
        <f t="shared" si="23"/>
        <v>2016</v>
      </c>
      <c r="G64">
        <f t="shared" si="23"/>
        <v>2017</v>
      </c>
      <c r="H64">
        <f t="shared" si="23"/>
        <v>2018</v>
      </c>
      <c r="I64">
        <f t="shared" si="23"/>
        <v>2019</v>
      </c>
      <c r="J64">
        <f t="shared" si="23"/>
        <v>2020</v>
      </c>
    </row>
    <row r="65" spans="1:32" hidden="1" x14ac:dyDescent="0.35">
      <c r="A65" s="71" t="s">
        <v>211</v>
      </c>
      <c r="B65" t="s">
        <v>212</v>
      </c>
      <c r="C65" s="124">
        <f>C67+C69</f>
        <v>0</v>
      </c>
      <c r="D65" s="124">
        <f t="shared" ref="D65:J65" si="24">D67+D69</f>
        <v>31.333333333333332</v>
      </c>
      <c r="E65" s="124">
        <f t="shared" si="24"/>
        <v>43.666666666666664</v>
      </c>
      <c r="F65" s="124">
        <f t="shared" si="24"/>
        <v>49.666666666666664</v>
      </c>
      <c r="G65" s="124">
        <f t="shared" si="24"/>
        <v>7.333333333333333</v>
      </c>
      <c r="H65" s="124">
        <f t="shared" si="24"/>
        <v>0</v>
      </c>
      <c r="I65" s="124">
        <f t="shared" si="24"/>
        <v>0</v>
      </c>
      <c r="J65" s="124">
        <f t="shared" si="24"/>
        <v>0</v>
      </c>
      <c r="K65" s="66"/>
      <c r="L65" s="66"/>
      <c r="M65" s="66"/>
      <c r="N65" s="66"/>
      <c r="O65" s="66"/>
      <c r="P65" s="66"/>
      <c r="Q65" s="66"/>
      <c r="R65" s="66"/>
      <c r="S65" s="66"/>
      <c r="T65" s="66"/>
      <c r="U65" s="66"/>
      <c r="V65" s="66"/>
      <c r="W65" s="66"/>
      <c r="X65" s="66"/>
      <c r="Y65" s="66"/>
      <c r="Z65" s="66"/>
      <c r="AA65" s="66"/>
      <c r="AB65" s="66"/>
      <c r="AC65" s="66"/>
      <c r="AD65" s="66"/>
      <c r="AE65" s="66"/>
      <c r="AF65" s="66"/>
    </row>
    <row r="66" spans="1:32" hidden="1" x14ac:dyDescent="0.35">
      <c r="B66" t="s">
        <v>213</v>
      </c>
      <c r="C66" s="66">
        <v>0</v>
      </c>
      <c r="D66" s="66">
        <v>0</v>
      </c>
      <c r="E66" s="66">
        <v>0</v>
      </c>
      <c r="F66" s="66">
        <v>0</v>
      </c>
      <c r="G66" s="66">
        <v>12.846</v>
      </c>
      <c r="H66" s="66">
        <v>12.846</v>
      </c>
      <c r="I66" s="66">
        <v>12.846</v>
      </c>
      <c r="J66" s="66">
        <v>0</v>
      </c>
      <c r="K66" s="66"/>
      <c r="L66" s="66"/>
      <c r="M66" s="66"/>
      <c r="N66" s="66"/>
      <c r="O66" s="66"/>
      <c r="P66" s="66"/>
      <c r="Q66" s="66"/>
      <c r="R66" s="66"/>
      <c r="S66" s="66"/>
      <c r="T66" s="66"/>
      <c r="U66" s="66"/>
      <c r="V66" s="66"/>
      <c r="W66" s="66"/>
      <c r="X66" s="66"/>
      <c r="Y66" s="66"/>
      <c r="Z66" s="66"/>
      <c r="AA66" s="66"/>
      <c r="AB66" s="66"/>
      <c r="AC66" s="66"/>
      <c r="AD66" s="66"/>
      <c r="AE66" s="66"/>
      <c r="AF66" s="66"/>
    </row>
    <row r="67" spans="1:32" hidden="1" x14ac:dyDescent="0.35">
      <c r="B67" s="125" t="s">
        <v>214</v>
      </c>
      <c r="C67" s="66">
        <v>0</v>
      </c>
      <c r="D67" s="66">
        <v>31.333333333333332</v>
      </c>
      <c r="E67" s="66">
        <v>31.333333333333332</v>
      </c>
      <c r="F67" s="66">
        <v>42.333333333333329</v>
      </c>
      <c r="G67" s="66">
        <v>0</v>
      </c>
      <c r="H67" s="66">
        <v>0</v>
      </c>
      <c r="I67" s="66">
        <v>0</v>
      </c>
      <c r="J67" s="66">
        <v>0</v>
      </c>
      <c r="K67" s="66"/>
      <c r="L67" s="66"/>
      <c r="M67" s="66"/>
      <c r="N67" s="66"/>
      <c r="O67" s="66"/>
      <c r="P67" s="66"/>
      <c r="Q67" s="66"/>
      <c r="R67" s="66"/>
      <c r="S67" s="66"/>
      <c r="T67" s="66"/>
      <c r="U67" s="66"/>
      <c r="V67" s="66"/>
      <c r="W67" s="66"/>
      <c r="X67" s="66"/>
      <c r="Y67" s="66"/>
      <c r="Z67" s="66"/>
      <c r="AA67" s="66"/>
      <c r="AB67" s="66"/>
      <c r="AC67" s="66"/>
      <c r="AD67" s="66"/>
      <c r="AE67" s="66"/>
      <c r="AF67" s="66"/>
    </row>
    <row r="68" spans="1:32" hidden="1" x14ac:dyDescent="0.35">
      <c r="B68" t="s">
        <v>215</v>
      </c>
      <c r="C68" s="66">
        <v>0</v>
      </c>
      <c r="D68" s="66">
        <v>7.85</v>
      </c>
      <c r="E68" s="66">
        <v>7.85</v>
      </c>
      <c r="F68" s="66">
        <v>0</v>
      </c>
      <c r="G68">
        <v>0</v>
      </c>
      <c r="H68" s="66">
        <v>0</v>
      </c>
      <c r="I68" s="66">
        <v>0</v>
      </c>
      <c r="J68" s="66">
        <v>0</v>
      </c>
    </row>
    <row r="69" spans="1:32" hidden="1" x14ac:dyDescent="0.35">
      <c r="B69" s="125" t="s">
        <v>216</v>
      </c>
      <c r="C69" s="66">
        <v>0</v>
      </c>
      <c r="D69" s="66">
        <v>0</v>
      </c>
      <c r="E69" s="66">
        <v>12.333333333333332</v>
      </c>
      <c r="F69" s="66">
        <v>7.333333333333333</v>
      </c>
      <c r="G69" s="66">
        <v>7.333333333333333</v>
      </c>
      <c r="H69" s="66">
        <v>0</v>
      </c>
      <c r="I69" s="66">
        <v>0</v>
      </c>
      <c r="J69" s="66">
        <v>0</v>
      </c>
    </row>
    <row r="70" spans="1:32" hidden="1" x14ac:dyDescent="0.35">
      <c r="B70" t="s">
        <v>217</v>
      </c>
      <c r="C70" s="66">
        <v>3.75</v>
      </c>
      <c r="D70" s="66">
        <v>3.75</v>
      </c>
      <c r="E70" s="66">
        <v>3.75</v>
      </c>
      <c r="F70" s="66">
        <v>3.75</v>
      </c>
      <c r="G70" s="66">
        <v>0</v>
      </c>
      <c r="H70" s="66">
        <v>0</v>
      </c>
      <c r="I70" s="66">
        <v>0</v>
      </c>
      <c r="J70" s="66">
        <v>0</v>
      </c>
    </row>
    <row r="71" spans="1:32" hidden="1" x14ac:dyDescent="0.35">
      <c r="B71" t="s">
        <v>218</v>
      </c>
      <c r="C71" s="66">
        <v>0</v>
      </c>
      <c r="D71" s="66">
        <v>0</v>
      </c>
      <c r="E71" s="66">
        <v>0</v>
      </c>
      <c r="F71" s="66">
        <v>0</v>
      </c>
      <c r="G71">
        <v>0</v>
      </c>
      <c r="H71">
        <v>30</v>
      </c>
      <c r="I71">
        <v>39</v>
      </c>
      <c r="J71" s="66">
        <v>0</v>
      </c>
    </row>
    <row r="72" spans="1:32" hidden="1" x14ac:dyDescent="0.35">
      <c r="B72" t="s">
        <v>219</v>
      </c>
      <c r="C72" s="66">
        <v>0</v>
      </c>
      <c r="D72" s="66">
        <v>0</v>
      </c>
      <c r="E72" s="66">
        <v>0</v>
      </c>
      <c r="F72" s="66">
        <v>3.25</v>
      </c>
      <c r="G72">
        <v>3.25</v>
      </c>
      <c r="H72" s="66">
        <v>0</v>
      </c>
      <c r="I72" s="66">
        <v>0</v>
      </c>
      <c r="J72" s="66">
        <v>0</v>
      </c>
    </row>
    <row r="73" spans="1:32" hidden="1" x14ac:dyDescent="0.35">
      <c r="B73" t="s">
        <v>220</v>
      </c>
      <c r="C73" s="66">
        <v>0</v>
      </c>
      <c r="D73" s="66">
        <v>0</v>
      </c>
      <c r="E73" s="66">
        <v>0</v>
      </c>
      <c r="F73" s="66">
        <v>0</v>
      </c>
      <c r="G73" s="66">
        <v>153.33333333333331</v>
      </c>
      <c r="H73" s="66">
        <v>153.33333333333331</v>
      </c>
      <c r="I73" s="66">
        <v>153.33333333333331</v>
      </c>
      <c r="J73" s="66">
        <v>0</v>
      </c>
    </row>
    <row r="74" spans="1:32" hidden="1" x14ac:dyDescent="0.35">
      <c r="B74" s="72" t="s">
        <v>221</v>
      </c>
      <c r="C74" s="73">
        <f>C65/C17</f>
        <v>0</v>
      </c>
      <c r="D74" s="73">
        <f t="shared" ref="D74:J74" si="25">D65/D17</f>
        <v>0.21831803842595074</v>
      </c>
      <c r="E74" s="73">
        <f t="shared" si="25"/>
        <v>0.22798242768028432</v>
      </c>
      <c r="F74" s="73">
        <f t="shared" si="25"/>
        <v>0.20338520338520338</v>
      </c>
      <c r="G74" s="73">
        <f t="shared" si="25"/>
        <v>2.8719699110128394E-2</v>
      </c>
      <c r="H74" s="73">
        <f t="shared" si="25"/>
        <v>0</v>
      </c>
      <c r="I74" s="73">
        <f t="shared" si="25"/>
        <v>0</v>
      </c>
      <c r="J74" s="73">
        <f t="shared" si="25"/>
        <v>0</v>
      </c>
    </row>
    <row r="75" spans="1:32" hidden="1" x14ac:dyDescent="0.35"/>
    <row r="76" spans="1:32" hidden="1" x14ac:dyDescent="0.35">
      <c r="A76" s="71" t="s">
        <v>222</v>
      </c>
      <c r="B76" t="s">
        <v>223</v>
      </c>
      <c r="C76" s="124">
        <f>C78+C80</f>
        <v>0</v>
      </c>
      <c r="D76" s="124">
        <f t="shared" ref="D76:AF76" si="26">D78+D80</f>
        <v>31.333333333333332</v>
      </c>
      <c r="E76" s="124">
        <f t="shared" si="26"/>
        <v>75</v>
      </c>
      <c r="F76" s="124">
        <f t="shared" si="26"/>
        <v>124.66666666666666</v>
      </c>
      <c r="G76" s="124">
        <f t="shared" si="26"/>
        <v>132</v>
      </c>
      <c r="H76" s="124">
        <f t="shared" si="26"/>
        <v>131.76755921472122</v>
      </c>
      <c r="I76" s="124">
        <f t="shared" si="26"/>
        <v>130.48074082590384</v>
      </c>
      <c r="J76" s="124">
        <f t="shared" si="26"/>
        <v>128.06952947086509</v>
      </c>
      <c r="K76" s="124">
        <f t="shared" si="26"/>
        <v>124.40625009079594</v>
      </c>
      <c r="L76" s="124">
        <f t="shared" si="26"/>
        <v>130.4644274592643</v>
      </c>
      <c r="M76" s="124">
        <f t="shared" si="26"/>
        <v>125.35366668220047</v>
      </c>
      <c r="N76" s="124">
        <f t="shared" si="26"/>
        <v>119.11559296791033</v>
      </c>
      <c r="O76" s="124">
        <f t="shared" si="26"/>
        <v>111.63563951776683</v>
      </c>
      <c r="P76" s="124">
        <f t="shared" si="26"/>
        <v>102.85162579286586</v>
      </c>
      <c r="Q76" s="124">
        <f t="shared" si="26"/>
        <v>92.69098190196172</v>
      </c>
      <c r="R76" s="124">
        <f t="shared" si="26"/>
        <v>91.981424052464121</v>
      </c>
      <c r="S76" s="124">
        <f t="shared" si="26"/>
        <v>79.642030253397593</v>
      </c>
      <c r="T76" s="124">
        <f t="shared" si="26"/>
        <v>65.678789838668848</v>
      </c>
      <c r="U76" s="124">
        <f t="shared" si="26"/>
        <v>49.995905055760552</v>
      </c>
      <c r="V76" s="124">
        <f t="shared" si="26"/>
        <v>32.406484455570563</v>
      </c>
      <c r="W76" s="124">
        <f t="shared" si="26"/>
        <v>13.381671970082747</v>
      </c>
      <c r="X76" s="124">
        <f t="shared" si="26"/>
        <v>12.222653752877436</v>
      </c>
      <c r="Y76" s="124">
        <f t="shared" si="26"/>
        <v>11.016821282651632</v>
      </c>
      <c r="Z76" s="124">
        <f t="shared" si="26"/>
        <v>9.7597369207104041</v>
      </c>
      <c r="AA76" s="124">
        <f t="shared" si="26"/>
        <v>8.4780683471522718</v>
      </c>
      <c r="AB76" s="124">
        <f t="shared" si="26"/>
        <v>7.0749072432400144</v>
      </c>
      <c r="AC76" s="124">
        <f t="shared" si="26"/>
        <v>5.5387370318831364</v>
      </c>
      <c r="AD76" s="124">
        <f t="shared" si="26"/>
        <v>3.8569494511978881</v>
      </c>
      <c r="AE76" s="124">
        <f t="shared" si="26"/>
        <v>2.015741071008792</v>
      </c>
      <c r="AF76" s="124">
        <f t="shared" si="26"/>
        <v>0</v>
      </c>
    </row>
    <row r="77" spans="1:32" hidden="1" x14ac:dyDescent="0.35">
      <c r="B77" t="s">
        <v>213</v>
      </c>
      <c r="C77">
        <v>0</v>
      </c>
      <c r="D77">
        <v>0</v>
      </c>
      <c r="E77">
        <v>0</v>
      </c>
      <c r="F77">
        <v>0</v>
      </c>
      <c r="G77" s="66">
        <v>12.846</v>
      </c>
      <c r="H77" s="66">
        <v>25.692</v>
      </c>
      <c r="I77" s="66">
        <v>38.537999999999997</v>
      </c>
      <c r="J77" s="66">
        <v>38.371477524635822</v>
      </c>
      <c r="K77" s="66">
        <v>37.794841996228008</v>
      </c>
      <c r="L77" s="66">
        <v>36.797612745999217</v>
      </c>
      <c r="M77" s="66">
        <v>35.345527135101875</v>
      </c>
      <c r="N77" s="66">
        <v>33.411792062519361</v>
      </c>
      <c r="O77" s="66">
        <v>30.928899492950389</v>
      </c>
      <c r="P77" s="66">
        <v>27.821443722151194</v>
      </c>
      <c r="Q77" s="66">
        <v>24.00013322413194</v>
      </c>
      <c r="R77" s="66">
        <v>19.40504208738853</v>
      </c>
      <c r="S77" s="66">
        <v>13.92780500185849</v>
      </c>
      <c r="T77" s="66">
        <v>7.5029573343550124</v>
      </c>
      <c r="U77" s="66">
        <v>0</v>
      </c>
      <c r="V77" s="66">
        <v>0</v>
      </c>
      <c r="W77" s="66">
        <v>0</v>
      </c>
      <c r="X77" s="66">
        <v>0</v>
      </c>
      <c r="Y77" s="66">
        <v>0</v>
      </c>
      <c r="Z77" s="66">
        <v>0</v>
      </c>
      <c r="AA77" s="66">
        <v>0</v>
      </c>
      <c r="AB77" s="66">
        <v>0</v>
      </c>
      <c r="AC77" s="66">
        <v>0</v>
      </c>
      <c r="AD77" s="66">
        <v>0</v>
      </c>
      <c r="AE77" s="66">
        <v>0</v>
      </c>
      <c r="AF77" s="66">
        <v>0</v>
      </c>
    </row>
    <row r="78" spans="1:32" hidden="1" x14ac:dyDescent="0.35">
      <c r="B78" s="125" t="s">
        <v>214</v>
      </c>
      <c r="C78">
        <v>0</v>
      </c>
      <c r="D78" s="66">
        <v>31.333333333333332</v>
      </c>
      <c r="E78" s="66">
        <v>62.666666666666664</v>
      </c>
      <c r="F78" s="66">
        <v>105</v>
      </c>
      <c r="G78" s="66">
        <v>105</v>
      </c>
      <c r="H78" s="66">
        <v>104.78930167959349</v>
      </c>
      <c r="I78" s="66">
        <v>103.68226225074223</v>
      </c>
      <c r="J78" s="66">
        <v>101.61841623245765</v>
      </c>
      <c r="K78" s="66">
        <v>98.494953258565189</v>
      </c>
      <c r="L78" s="66">
        <v>105.31045641345671</v>
      </c>
      <c r="M78" s="66">
        <v>101.02881020502792</v>
      </c>
      <c r="N78" s="66">
        <v>95.6984448775994</v>
      </c>
      <c r="O78" s="66">
        <v>89.212243734733946</v>
      </c>
      <c r="P78" s="66">
        <v>81.455258281053489</v>
      </c>
      <c r="Q78" s="66">
        <v>72.292893314282736</v>
      </c>
      <c r="R78" s="66">
        <v>72.669938519605054</v>
      </c>
      <c r="S78" s="66">
        <v>61.450792421534544</v>
      </c>
      <c r="T78" s="66">
        <v>48.67615958663373</v>
      </c>
      <c r="U78" s="66">
        <v>34.187365122415684</v>
      </c>
      <c r="V78" s="66">
        <v>17.810647691551008</v>
      </c>
      <c r="W78" s="66">
        <v>0</v>
      </c>
      <c r="X78" s="66">
        <v>0</v>
      </c>
      <c r="Y78" s="66">
        <v>0</v>
      </c>
      <c r="Z78" s="66">
        <v>0</v>
      </c>
      <c r="AA78" s="66">
        <v>0</v>
      </c>
      <c r="AB78" s="66">
        <v>0</v>
      </c>
      <c r="AC78" s="66">
        <v>0</v>
      </c>
      <c r="AD78" s="66">
        <v>0</v>
      </c>
      <c r="AE78" s="66">
        <v>0</v>
      </c>
      <c r="AF78" s="66">
        <v>0</v>
      </c>
    </row>
    <row r="79" spans="1:32" hidden="1" x14ac:dyDescent="0.35">
      <c r="B79" t="s">
        <v>215</v>
      </c>
      <c r="C79">
        <v>0</v>
      </c>
      <c r="D79" s="66">
        <v>7.85</v>
      </c>
      <c r="E79" s="66">
        <v>15.7</v>
      </c>
      <c r="F79" s="66">
        <v>15.578687437098976</v>
      </c>
      <c r="G79" s="66">
        <v>15.223690366654365</v>
      </c>
      <c r="H79" s="66">
        <v>14.6081939903147</v>
      </c>
      <c r="I79" s="66">
        <v>13.694277777756026</v>
      </c>
      <c r="J79" s="66">
        <v>12.450505578980538</v>
      </c>
      <c r="K79" s="66">
        <v>10.832230598949076</v>
      </c>
      <c r="L79" s="66">
        <v>8.8173246092137809</v>
      </c>
      <c r="M79" s="66">
        <v>6.3682153467159601</v>
      </c>
      <c r="N79" s="66">
        <v>3.4494276491220579</v>
      </c>
      <c r="O79" s="66">
        <v>0</v>
      </c>
      <c r="P79" s="66">
        <v>0</v>
      </c>
      <c r="Q79" s="66">
        <v>0</v>
      </c>
      <c r="R79" s="66">
        <v>0</v>
      </c>
      <c r="S79" s="66">
        <v>0</v>
      </c>
      <c r="T79" s="66">
        <v>0</v>
      </c>
      <c r="U79" s="66">
        <v>0</v>
      </c>
      <c r="V79" s="66">
        <v>0</v>
      </c>
      <c r="W79" s="66">
        <v>0</v>
      </c>
      <c r="X79" s="66">
        <v>0</v>
      </c>
      <c r="Y79" s="66">
        <v>0</v>
      </c>
      <c r="Z79" s="66">
        <v>0</v>
      </c>
      <c r="AA79" s="66">
        <v>0</v>
      </c>
      <c r="AB79" s="66">
        <v>0</v>
      </c>
      <c r="AC79" s="66">
        <v>0</v>
      </c>
      <c r="AD79" s="66">
        <v>0</v>
      </c>
      <c r="AE79" s="66">
        <v>0</v>
      </c>
      <c r="AF79" s="66">
        <v>0</v>
      </c>
    </row>
    <row r="80" spans="1:32" hidden="1" x14ac:dyDescent="0.35">
      <c r="B80" s="125" t="s">
        <v>216</v>
      </c>
      <c r="C80">
        <v>0</v>
      </c>
      <c r="D80">
        <v>0</v>
      </c>
      <c r="E80" s="66">
        <v>12.333333333333332</v>
      </c>
      <c r="F80" s="66">
        <v>19.666666666666664</v>
      </c>
      <c r="G80" s="66">
        <v>26.999999999999996</v>
      </c>
      <c r="H80" s="66">
        <v>26.978257535127728</v>
      </c>
      <c r="I80" s="66">
        <v>26.798478575161607</v>
      </c>
      <c r="J80" s="66">
        <v>26.451113238407444</v>
      </c>
      <c r="K80" s="66">
        <v>25.91129683223074</v>
      </c>
      <c r="L80" s="66">
        <v>25.153971045807584</v>
      </c>
      <c r="M80" s="66">
        <v>24.324856477172542</v>
      </c>
      <c r="N80" s="66">
        <v>23.417148090310931</v>
      </c>
      <c r="O80" s="66">
        <v>22.423395783032884</v>
      </c>
      <c r="P80" s="66">
        <v>21.396367511812379</v>
      </c>
      <c r="Q80" s="66">
        <v>20.398088587678988</v>
      </c>
      <c r="R80" s="66">
        <v>19.311485532859059</v>
      </c>
      <c r="S80" s="66">
        <v>18.191237831863045</v>
      </c>
      <c r="T80" s="66">
        <v>17.002630252035122</v>
      </c>
      <c r="U80" s="66">
        <v>15.80853993334487</v>
      </c>
      <c r="V80" s="66">
        <v>14.595836764019557</v>
      </c>
      <c r="W80" s="66">
        <v>13.381671970082747</v>
      </c>
      <c r="X80" s="66">
        <v>12.222653752877436</v>
      </c>
      <c r="Y80" s="66">
        <v>11.016821282651632</v>
      </c>
      <c r="Z80" s="66">
        <v>9.7597369207104041</v>
      </c>
      <c r="AA80" s="66">
        <v>8.4780683471522718</v>
      </c>
      <c r="AB80" s="66">
        <v>7.0749072432400144</v>
      </c>
      <c r="AC80" s="66">
        <v>5.5387370318831364</v>
      </c>
      <c r="AD80" s="66">
        <v>3.8569494511978881</v>
      </c>
      <c r="AE80" s="66">
        <v>2.015741071008792</v>
      </c>
      <c r="AF80" s="66">
        <v>0</v>
      </c>
    </row>
    <row r="81" spans="1:32" hidden="1" x14ac:dyDescent="0.35">
      <c r="B81" t="s">
        <v>217</v>
      </c>
      <c r="C81">
        <v>3.75</v>
      </c>
      <c r="D81">
        <v>7.5</v>
      </c>
      <c r="E81">
        <v>11.25</v>
      </c>
      <c r="F81">
        <v>15</v>
      </c>
      <c r="G81">
        <v>14.4</v>
      </c>
      <c r="H81">
        <v>13.8</v>
      </c>
      <c r="I81">
        <v>13.2</v>
      </c>
      <c r="J81">
        <v>12.6</v>
      </c>
      <c r="K81">
        <v>12</v>
      </c>
      <c r="L81">
        <v>11.4</v>
      </c>
      <c r="M81">
        <v>10.8</v>
      </c>
      <c r="N81">
        <v>10.199999999999999</v>
      </c>
      <c r="O81">
        <v>9.6</v>
      </c>
      <c r="P81">
        <v>9</v>
      </c>
      <c r="Q81">
        <v>8.4</v>
      </c>
      <c r="R81">
        <v>7.8</v>
      </c>
      <c r="S81">
        <v>7.2</v>
      </c>
      <c r="T81">
        <v>6.6</v>
      </c>
      <c r="U81">
        <v>6</v>
      </c>
      <c r="V81">
        <v>5.4</v>
      </c>
      <c r="W81">
        <v>4.8</v>
      </c>
      <c r="X81">
        <v>4.2</v>
      </c>
      <c r="Y81">
        <v>3.6</v>
      </c>
      <c r="Z81">
        <v>3</v>
      </c>
      <c r="AA81">
        <v>2.4</v>
      </c>
      <c r="AB81">
        <v>1.8</v>
      </c>
      <c r="AC81">
        <v>1.2</v>
      </c>
      <c r="AD81">
        <v>0.6</v>
      </c>
      <c r="AE81">
        <v>0</v>
      </c>
      <c r="AF81">
        <v>0</v>
      </c>
    </row>
    <row r="82" spans="1:32" hidden="1" x14ac:dyDescent="0.35">
      <c r="B82" t="s">
        <v>218</v>
      </c>
      <c r="C82">
        <v>0</v>
      </c>
      <c r="D82">
        <v>0</v>
      </c>
      <c r="E82">
        <v>0</v>
      </c>
      <c r="F82" s="66">
        <v>0</v>
      </c>
      <c r="G82" s="66">
        <v>0</v>
      </c>
      <c r="H82" s="66">
        <v>30</v>
      </c>
      <c r="I82" s="66">
        <v>69</v>
      </c>
      <c r="J82" s="66">
        <v>63.428571428571431</v>
      </c>
      <c r="K82" s="66">
        <v>57.857142857142854</v>
      </c>
      <c r="L82" s="66">
        <v>52.285714285714292</v>
      </c>
      <c r="M82" s="66">
        <v>46.714285714285708</v>
      </c>
      <c r="N82" s="66">
        <v>41.142857142857146</v>
      </c>
      <c r="O82" s="66">
        <v>35.571428571428569</v>
      </c>
      <c r="P82" s="66">
        <v>30</v>
      </c>
      <c r="Q82" s="66">
        <v>33.428571428571431</v>
      </c>
      <c r="R82" s="66">
        <v>27.857142857142854</v>
      </c>
      <c r="S82" s="66">
        <v>22.285714285714281</v>
      </c>
      <c r="T82" s="66">
        <v>16.714285714285712</v>
      </c>
      <c r="U82" s="66">
        <v>11.142857142857144</v>
      </c>
      <c r="V82" s="66">
        <v>5.5714285714285801</v>
      </c>
      <c r="W82" s="66">
        <v>1.4551915228366852E-14</v>
      </c>
      <c r="X82" s="66">
        <v>0</v>
      </c>
      <c r="Y82" s="66">
        <v>0</v>
      </c>
      <c r="Z82" s="66">
        <v>0</v>
      </c>
      <c r="AA82" s="66">
        <v>0</v>
      </c>
      <c r="AB82" s="66">
        <v>0</v>
      </c>
      <c r="AC82" s="66">
        <v>0</v>
      </c>
      <c r="AD82" s="66">
        <v>0</v>
      </c>
      <c r="AE82" s="66">
        <v>0</v>
      </c>
      <c r="AF82" s="66">
        <v>0</v>
      </c>
    </row>
    <row r="83" spans="1:32" hidden="1" x14ac:dyDescent="0.35">
      <c r="B83" t="s">
        <v>219</v>
      </c>
      <c r="C83">
        <v>0</v>
      </c>
      <c r="D83">
        <v>0</v>
      </c>
      <c r="E83">
        <v>0</v>
      </c>
      <c r="F83" s="66">
        <v>3.25</v>
      </c>
      <c r="G83" s="66">
        <v>6.5</v>
      </c>
      <c r="H83" s="66">
        <v>5.9969955764921625</v>
      </c>
      <c r="I83" s="66">
        <v>5.4264825317827503</v>
      </c>
      <c r="J83" s="66">
        <v>4.7794503643311872</v>
      </c>
      <c r="K83" s="66">
        <v>4.043298854809855</v>
      </c>
      <c r="L83" s="66">
        <v>3.2101570965266673</v>
      </c>
      <c r="M83" s="66">
        <v>2.2679346353116059</v>
      </c>
      <c r="N83" s="66">
        <v>1.2042931324979407</v>
      </c>
      <c r="O83" s="66">
        <v>0</v>
      </c>
      <c r="P83" s="66">
        <v>0</v>
      </c>
      <c r="Q83" s="66">
        <v>0</v>
      </c>
      <c r="R83" s="66">
        <v>0</v>
      </c>
      <c r="S83" s="66">
        <v>0</v>
      </c>
      <c r="T83" s="66">
        <v>0</v>
      </c>
      <c r="U83" s="66">
        <v>0</v>
      </c>
      <c r="V83" s="66">
        <v>0</v>
      </c>
      <c r="W83" s="66">
        <v>0</v>
      </c>
      <c r="X83" s="66">
        <v>0</v>
      </c>
      <c r="Y83" s="66">
        <v>0</v>
      </c>
      <c r="Z83" s="66">
        <v>0</v>
      </c>
      <c r="AA83" s="66">
        <v>0</v>
      </c>
      <c r="AB83" s="66">
        <v>0</v>
      </c>
      <c r="AC83" s="66">
        <v>0</v>
      </c>
      <c r="AD83" s="66">
        <v>0</v>
      </c>
      <c r="AE83" s="66">
        <v>0</v>
      </c>
      <c r="AF83" s="66">
        <v>0</v>
      </c>
    </row>
    <row r="84" spans="1:32" hidden="1" x14ac:dyDescent="0.35">
      <c r="B84" t="s">
        <v>220</v>
      </c>
      <c r="C84">
        <v>0</v>
      </c>
      <c r="D84">
        <v>0</v>
      </c>
      <c r="E84">
        <v>0</v>
      </c>
      <c r="F84">
        <v>0</v>
      </c>
      <c r="G84" s="66">
        <v>153.33333333333331</v>
      </c>
      <c r="H84" s="66">
        <v>306.66666666666663</v>
      </c>
      <c r="I84" s="66">
        <v>459.99999999999994</v>
      </c>
      <c r="J84" s="66">
        <v>439.99999999999994</v>
      </c>
      <c r="K84" s="66">
        <v>419.99999999999994</v>
      </c>
      <c r="L84" s="66">
        <v>399.99999999999994</v>
      </c>
      <c r="M84" s="66">
        <v>379.99999999999994</v>
      </c>
      <c r="N84" s="66">
        <v>359.99999999999994</v>
      </c>
      <c r="O84" s="66">
        <v>339.99999999999994</v>
      </c>
      <c r="P84" s="66">
        <v>320</v>
      </c>
      <c r="Q84" s="66">
        <v>300</v>
      </c>
      <c r="R84" s="66">
        <v>280</v>
      </c>
      <c r="S84" s="66">
        <v>259.99999999999994</v>
      </c>
      <c r="T84" s="66">
        <v>239.99999999999997</v>
      </c>
      <c r="U84" s="66">
        <v>219.99999999999997</v>
      </c>
      <c r="V84" s="66">
        <v>199.99999999999997</v>
      </c>
      <c r="W84" s="66">
        <v>180</v>
      </c>
      <c r="X84" s="66">
        <v>160</v>
      </c>
      <c r="Y84" s="66">
        <v>140</v>
      </c>
      <c r="Z84" s="66">
        <v>120</v>
      </c>
      <c r="AA84" s="66">
        <v>100</v>
      </c>
      <c r="AB84" s="66">
        <v>80</v>
      </c>
      <c r="AC84" s="66">
        <v>60</v>
      </c>
      <c r="AD84" s="66">
        <v>40</v>
      </c>
      <c r="AE84" s="66">
        <v>20</v>
      </c>
      <c r="AF84" s="66">
        <v>0</v>
      </c>
    </row>
    <row r="85" spans="1:32" hidden="1" x14ac:dyDescent="0.35">
      <c r="B85" s="72" t="s">
        <v>224</v>
      </c>
      <c r="C85" s="73">
        <f>C76/C11</f>
        <v>0</v>
      </c>
      <c r="D85" s="73">
        <f t="shared" ref="D85:AF85" si="27">D76/D11</f>
        <v>2.6361860260886192E-2</v>
      </c>
      <c r="E85" s="73">
        <f t="shared" si="27"/>
        <v>5.5478426692293491E-2</v>
      </c>
      <c r="F85" s="73">
        <f t="shared" si="27"/>
        <v>8.4202770144009273E-2</v>
      </c>
      <c r="G85" s="73">
        <f t="shared" si="27"/>
        <v>8.6664786701316221E-2</v>
      </c>
      <c r="H85" s="73">
        <f t="shared" si="27"/>
        <v>8.3644588579369072E-2</v>
      </c>
      <c r="I85" s="73">
        <f t="shared" si="27"/>
        <v>8.0290726143779828E-2</v>
      </c>
      <c r="J85" s="73">
        <f t="shared" si="27"/>
        <v>7.642946671671115E-2</v>
      </c>
      <c r="K85" s="73">
        <f t="shared" si="27"/>
        <v>7.2300636624121131E-2</v>
      </c>
      <c r="L85" s="73">
        <f t="shared" si="27"/>
        <v>7.3950543405665176E-2</v>
      </c>
      <c r="M85" s="73">
        <f t="shared" si="27"/>
        <v>6.9705894747637512E-2</v>
      </c>
      <c r="N85" s="73">
        <f t="shared" si="27"/>
        <v>6.489776342456155E-2</v>
      </c>
      <c r="O85" s="73">
        <f t="shared" si="27"/>
        <v>5.9516750752609988E-2</v>
      </c>
      <c r="P85" s="73">
        <f t="shared" si="27"/>
        <v>5.358781300917672E-2</v>
      </c>
      <c r="Q85" s="73">
        <f t="shared" si="27"/>
        <v>4.7135127816704779E-2</v>
      </c>
      <c r="R85" s="73">
        <f t="shared" si="27"/>
        <v>4.5598149112439951E-2</v>
      </c>
      <c r="S85" s="73">
        <f t="shared" si="27"/>
        <v>3.8442922331158723E-2</v>
      </c>
      <c r="T85" s="73">
        <f t="shared" si="27"/>
        <v>3.0839257810111324E-2</v>
      </c>
      <c r="U85" s="73">
        <f t="shared" si="27"/>
        <v>2.2813522890142841E-2</v>
      </c>
      <c r="V85" s="73">
        <f t="shared" si="27"/>
        <v>1.43562483309164E-2</v>
      </c>
      <c r="W85" s="73">
        <f t="shared" si="27"/>
        <v>5.7496431403326262E-3</v>
      </c>
      <c r="X85" s="73">
        <f t="shared" si="27"/>
        <v>5.0884680426802106E-3</v>
      </c>
      <c r="Y85" s="73">
        <f t="shared" si="27"/>
        <v>4.4395454683222833E-3</v>
      </c>
      <c r="Z85" s="73">
        <f t="shared" si="27"/>
        <v>3.8032206846970607E-3</v>
      </c>
      <c r="AA85" s="73">
        <f t="shared" si="27"/>
        <v>3.1916396587564335E-3</v>
      </c>
      <c r="AB85" s="73">
        <f t="shared" si="27"/>
        <v>2.5704911985020705E-3</v>
      </c>
      <c r="AC85" s="73">
        <f t="shared" si="27"/>
        <v>1.9402730856639234E-3</v>
      </c>
      <c r="AD85" s="73">
        <f t="shared" si="27"/>
        <v>1.3014734169724755E-3</v>
      </c>
      <c r="AE85" s="73">
        <f t="shared" si="27"/>
        <v>6.5456500126926981E-4</v>
      </c>
      <c r="AF85" s="73">
        <f t="shared" si="27"/>
        <v>0</v>
      </c>
    </row>
    <row r="86" spans="1:32" hidden="1" x14ac:dyDescent="0.35"/>
    <row r="87" spans="1:32" hidden="1" x14ac:dyDescent="0.35">
      <c r="A87" t="s">
        <v>225</v>
      </c>
    </row>
    <row r="88" spans="1:32" hidden="1" x14ac:dyDescent="0.35">
      <c r="A88" s="64" t="s">
        <v>226</v>
      </c>
      <c r="B88" s="74" t="s">
        <v>227</v>
      </c>
      <c r="F88" s="66">
        <f>-F59+(F8/F4)*100</f>
        <v>2.0116984325780907</v>
      </c>
      <c r="G88" s="75">
        <v>2</v>
      </c>
      <c r="H88" s="75">
        <v>2</v>
      </c>
      <c r="I88" s="75">
        <v>2</v>
      </c>
      <c r="J88" s="75">
        <v>2</v>
      </c>
      <c r="K88" s="75">
        <v>2</v>
      </c>
      <c r="L88" s="75">
        <v>2</v>
      </c>
      <c r="M88" s="75">
        <v>2</v>
      </c>
      <c r="N88" s="75">
        <v>2</v>
      </c>
      <c r="O88" s="75">
        <v>2</v>
      </c>
      <c r="P88" s="75">
        <v>2</v>
      </c>
      <c r="Q88" s="75">
        <v>2</v>
      </c>
      <c r="R88" s="75">
        <v>2</v>
      </c>
      <c r="S88" s="75">
        <v>2</v>
      </c>
      <c r="T88" s="75">
        <v>2</v>
      </c>
      <c r="U88" s="75">
        <v>2</v>
      </c>
      <c r="V88" s="75">
        <v>2</v>
      </c>
      <c r="W88" s="75">
        <v>2</v>
      </c>
      <c r="X88" s="75">
        <v>2</v>
      </c>
      <c r="Y88" s="75">
        <v>2</v>
      </c>
      <c r="Z88" s="75">
        <v>2</v>
      </c>
      <c r="AA88" s="75">
        <v>2</v>
      </c>
      <c r="AB88" s="75">
        <v>2</v>
      </c>
      <c r="AC88" s="75">
        <v>2</v>
      </c>
      <c r="AD88" s="75">
        <v>2</v>
      </c>
      <c r="AE88" s="75">
        <v>2</v>
      </c>
      <c r="AF88" s="75">
        <v>2</v>
      </c>
    </row>
    <row r="89" spans="1:32" hidden="1" x14ac:dyDescent="0.35">
      <c r="F89" s="76">
        <f>F88/100*F4</f>
        <v>61.396535779053799</v>
      </c>
      <c r="G89" s="76">
        <f t="shared" ref="G89:AF89" si="28">G88/100*G4</f>
        <v>70.928216525731202</v>
      </c>
      <c r="H89" s="76">
        <f t="shared" si="28"/>
        <v>80.333544149708146</v>
      </c>
      <c r="I89" s="76">
        <f t="shared" si="28"/>
        <v>90.503169876436345</v>
      </c>
      <c r="J89" s="76">
        <f t="shared" si="28"/>
        <v>101.10589688631909</v>
      </c>
      <c r="K89" s="76">
        <f t="shared" si="28"/>
        <v>112.55853266910859</v>
      </c>
      <c r="L89" s="76">
        <f t="shared" si="28"/>
        <v>124.377178599365</v>
      </c>
      <c r="M89" s="76">
        <f t="shared" si="28"/>
        <v>136.4417649235034</v>
      </c>
      <c r="N89" s="76">
        <f t="shared" si="28"/>
        <v>148.44864023677169</v>
      </c>
      <c r="O89" s="76">
        <f t="shared" si="28"/>
        <v>161.06677465689728</v>
      </c>
      <c r="P89" s="76">
        <f t="shared" si="28"/>
        <v>174.43531695341974</v>
      </c>
      <c r="Q89" s="76">
        <f t="shared" si="28"/>
        <v>188.73901294360019</v>
      </c>
      <c r="R89" s="76">
        <f t="shared" si="28"/>
        <v>202.8944389143702</v>
      </c>
      <c r="S89" s="76">
        <f t="shared" si="28"/>
        <v>217.90862739403357</v>
      </c>
      <c r="T89" s="76">
        <f t="shared" si="28"/>
        <v>232.07268817464575</v>
      </c>
      <c r="U89" s="76">
        <f t="shared" si="28"/>
        <v>247.15741290599772</v>
      </c>
      <c r="V89" s="76">
        <f t="shared" si="28"/>
        <v>263.22264474488753</v>
      </c>
      <c r="W89" s="76">
        <f t="shared" si="28"/>
        <v>280.33211665330526</v>
      </c>
      <c r="X89" s="76">
        <f t="shared" si="28"/>
        <v>298.55370423577006</v>
      </c>
      <c r="Y89" s="76">
        <f t="shared" si="28"/>
        <v>317.95969501109511</v>
      </c>
      <c r="Z89" s="76">
        <f t="shared" si="28"/>
        <v>338.62707518681628</v>
      </c>
      <c r="AA89" s="76">
        <f t="shared" si="28"/>
        <v>360.63783507395937</v>
      </c>
      <c r="AB89" s="76">
        <f t="shared" si="28"/>
        <v>384.07929435376667</v>
      </c>
      <c r="AC89" s="76">
        <f t="shared" si="28"/>
        <v>409.0444484867615</v>
      </c>
      <c r="AD89" s="76">
        <f t="shared" si="28"/>
        <v>435.63233763840094</v>
      </c>
      <c r="AE89" s="76">
        <f t="shared" si="28"/>
        <v>463.94843958489702</v>
      </c>
      <c r="AF89" s="76">
        <f t="shared" si="28"/>
        <v>494.10508815791525</v>
      </c>
    </row>
    <row r="90" spans="1:32" hidden="1" x14ac:dyDescent="0.35"/>
    <row r="91" spans="1:32" hidden="1" x14ac:dyDescent="0.35">
      <c r="A91" s="77" t="s">
        <v>228</v>
      </c>
      <c r="B91" t="s">
        <v>247</v>
      </c>
      <c r="F91" s="66">
        <f>F59</f>
        <v>-3.3657004474629342</v>
      </c>
      <c r="G91" s="75">
        <v>-3.2</v>
      </c>
      <c r="H91" s="75">
        <v>-3.3</v>
      </c>
      <c r="I91" s="75">
        <v>-3.1</v>
      </c>
      <c r="J91" s="75">
        <v>-3</v>
      </c>
      <c r="K91" s="75">
        <v>-2.8</v>
      </c>
      <c r="L91" s="75">
        <v>-2.7</v>
      </c>
      <c r="M91" s="75">
        <v>-2.5</v>
      </c>
      <c r="N91" s="75">
        <v>-2.5</v>
      </c>
      <c r="O91" s="75">
        <v>-2.5</v>
      </c>
      <c r="P91" s="75">
        <v>-2.5</v>
      </c>
      <c r="Q91" s="75">
        <v>-2.5</v>
      </c>
      <c r="R91" s="75">
        <v>-2.5</v>
      </c>
      <c r="S91" s="75">
        <v>-2.5</v>
      </c>
      <c r="T91" s="75">
        <v>-2.5</v>
      </c>
      <c r="U91" s="75">
        <v>-2.5</v>
      </c>
      <c r="V91" s="75">
        <v>-2.5</v>
      </c>
      <c r="W91" s="75">
        <v>-2.5</v>
      </c>
      <c r="X91" s="75">
        <v>-2.5</v>
      </c>
      <c r="Y91" s="75">
        <v>-2.5</v>
      </c>
      <c r="Z91" s="75">
        <v>-2.5</v>
      </c>
      <c r="AA91" s="75">
        <v>-2.5</v>
      </c>
      <c r="AB91" s="75">
        <v>-2.5</v>
      </c>
      <c r="AC91" s="75">
        <v>-2.5</v>
      </c>
      <c r="AD91" s="75">
        <v>-2.5</v>
      </c>
      <c r="AE91" s="75">
        <v>-2.5</v>
      </c>
      <c r="AF91" s="75">
        <v>-2.5</v>
      </c>
    </row>
    <row r="92" spans="1:32" hidden="1" x14ac:dyDescent="0.35">
      <c r="B92" t="s">
        <v>248</v>
      </c>
      <c r="F92" s="76">
        <f>F91/100*F4</f>
        <v>-102.72034048334623</v>
      </c>
      <c r="G92" s="76">
        <f t="shared" ref="G92:AF92" si="29">G91/100*G4</f>
        <v>-113.48514644116993</v>
      </c>
      <c r="H92" s="76">
        <f t="shared" si="29"/>
        <v>-132.55034784701843</v>
      </c>
      <c r="I92" s="76">
        <f t="shared" si="29"/>
        <v>-140.27991330847635</v>
      </c>
      <c r="J92" s="76">
        <f t="shared" si="29"/>
        <v>-151.65884532947862</v>
      </c>
      <c r="K92" s="76">
        <f t="shared" si="29"/>
        <v>-157.581945736752</v>
      </c>
      <c r="L92" s="76">
        <f t="shared" si="29"/>
        <v>-167.90919110914277</v>
      </c>
      <c r="M92" s="76">
        <f t="shared" si="29"/>
        <v>-170.55220615437926</v>
      </c>
      <c r="N92" s="76">
        <f t="shared" si="29"/>
        <v>-185.56080029596464</v>
      </c>
      <c r="O92" s="76">
        <f t="shared" si="29"/>
        <v>-201.33346832112161</v>
      </c>
      <c r="P92" s="76">
        <f t="shared" si="29"/>
        <v>-218.0441461917747</v>
      </c>
      <c r="Q92" s="76">
        <f t="shared" si="29"/>
        <v>-235.92376617950023</v>
      </c>
      <c r="R92" s="76">
        <f t="shared" si="29"/>
        <v>-253.61804864296275</v>
      </c>
      <c r="S92" s="76">
        <f t="shared" si="29"/>
        <v>-272.385784242542</v>
      </c>
      <c r="T92" s="76">
        <f t="shared" si="29"/>
        <v>-290.09086021830717</v>
      </c>
      <c r="U92" s="76">
        <f t="shared" si="29"/>
        <v>-308.94676613249715</v>
      </c>
      <c r="V92" s="76">
        <f t="shared" si="29"/>
        <v>-329.02830593110946</v>
      </c>
      <c r="W92" s="76">
        <f t="shared" si="29"/>
        <v>-350.41514581663159</v>
      </c>
      <c r="X92" s="76">
        <f t="shared" si="29"/>
        <v>-373.19213029471257</v>
      </c>
      <c r="Y92" s="76">
        <f t="shared" si="29"/>
        <v>-397.4496187638689</v>
      </c>
      <c r="Z92" s="76">
        <f t="shared" si="29"/>
        <v>-423.2838439835204</v>
      </c>
      <c r="AA92" s="76">
        <f t="shared" si="29"/>
        <v>-450.79729384244922</v>
      </c>
      <c r="AB92" s="76">
        <f t="shared" si="29"/>
        <v>-480.09911794220835</v>
      </c>
      <c r="AC92" s="76">
        <f t="shared" si="29"/>
        <v>-511.30556060845186</v>
      </c>
      <c r="AD92" s="76">
        <f t="shared" si="29"/>
        <v>-544.54042204800123</v>
      </c>
      <c r="AE92" s="76">
        <f t="shared" si="29"/>
        <v>-579.93554948112126</v>
      </c>
      <c r="AF92" s="76">
        <f t="shared" si="29"/>
        <v>-617.63136019739409</v>
      </c>
    </row>
    <row r="93" spans="1:32" hidden="1" x14ac:dyDescent="0.35"/>
    <row r="94" spans="1:32" hidden="1" x14ac:dyDescent="0.35">
      <c r="A94" s="64" t="s">
        <v>229</v>
      </c>
      <c r="F94" s="66">
        <f>F91+F88</f>
        <v>-1.3540020148848435</v>
      </c>
      <c r="G94" s="66">
        <f t="shared" ref="G94:AF94" si="30">G91+G88</f>
        <v>-1.2000000000000002</v>
      </c>
      <c r="H94" s="66">
        <f t="shared" si="30"/>
        <v>-1.2999999999999998</v>
      </c>
      <c r="I94" s="66">
        <f t="shared" si="30"/>
        <v>-1.1000000000000001</v>
      </c>
      <c r="J94" s="66">
        <f t="shared" si="30"/>
        <v>-1</v>
      </c>
      <c r="K94" s="66">
        <f t="shared" si="30"/>
        <v>-0.79999999999999982</v>
      </c>
      <c r="L94" s="66">
        <f t="shared" si="30"/>
        <v>-0.70000000000000018</v>
      </c>
      <c r="M94" s="66">
        <f t="shared" si="30"/>
        <v>-0.5</v>
      </c>
      <c r="N94" s="66">
        <f t="shared" si="30"/>
        <v>-0.5</v>
      </c>
      <c r="O94" s="66">
        <f t="shared" si="30"/>
        <v>-0.5</v>
      </c>
      <c r="P94" s="66">
        <f t="shared" si="30"/>
        <v>-0.5</v>
      </c>
      <c r="Q94" s="66">
        <f t="shared" si="30"/>
        <v>-0.5</v>
      </c>
      <c r="R94" s="66">
        <f t="shared" si="30"/>
        <v>-0.5</v>
      </c>
      <c r="S94" s="66">
        <f t="shared" si="30"/>
        <v>-0.5</v>
      </c>
      <c r="T94" s="66">
        <f t="shared" si="30"/>
        <v>-0.5</v>
      </c>
      <c r="U94" s="66">
        <f t="shared" si="30"/>
        <v>-0.5</v>
      </c>
      <c r="V94" s="66">
        <f t="shared" si="30"/>
        <v>-0.5</v>
      </c>
      <c r="W94" s="66">
        <f t="shared" si="30"/>
        <v>-0.5</v>
      </c>
      <c r="X94" s="66">
        <f t="shared" si="30"/>
        <v>-0.5</v>
      </c>
      <c r="Y94" s="66">
        <f t="shared" si="30"/>
        <v>-0.5</v>
      </c>
      <c r="Z94" s="66">
        <f t="shared" si="30"/>
        <v>-0.5</v>
      </c>
      <c r="AA94" s="66">
        <f t="shared" si="30"/>
        <v>-0.5</v>
      </c>
      <c r="AB94" s="66">
        <f t="shared" si="30"/>
        <v>-0.5</v>
      </c>
      <c r="AC94" s="66">
        <f t="shared" si="30"/>
        <v>-0.5</v>
      </c>
      <c r="AD94" s="66">
        <f t="shared" si="30"/>
        <v>-0.5</v>
      </c>
      <c r="AE94" s="66">
        <f t="shared" si="30"/>
        <v>-0.5</v>
      </c>
      <c r="AF94" s="66">
        <f t="shared" si="30"/>
        <v>-0.5</v>
      </c>
    </row>
    <row r="95" spans="1:32" hidden="1" x14ac:dyDescent="0.35">
      <c r="F95" s="76">
        <f>F94/100*F4</f>
        <v>-41.323804704292442</v>
      </c>
      <c r="G95" s="76">
        <f t="shared" ref="G95:AF95" si="31">G94/100*G4</f>
        <v>-42.556929915438729</v>
      </c>
      <c r="H95" s="76">
        <f t="shared" si="31"/>
        <v>-52.216803697310283</v>
      </c>
      <c r="I95" s="76">
        <f t="shared" si="31"/>
        <v>-49.77674343204</v>
      </c>
      <c r="J95" s="76">
        <f t="shared" si="31"/>
        <v>-50.552948443159544</v>
      </c>
      <c r="K95" s="76">
        <f t="shared" si="31"/>
        <v>-45.023413067643425</v>
      </c>
      <c r="L95" s="76">
        <f t="shared" si="31"/>
        <v>-43.532012509777758</v>
      </c>
      <c r="M95" s="76">
        <f t="shared" si="31"/>
        <v>-34.11044123087585</v>
      </c>
      <c r="N95" s="76">
        <f t="shared" si="31"/>
        <v>-37.112160059192924</v>
      </c>
      <c r="O95" s="76">
        <f t="shared" si="31"/>
        <v>-40.26669366422432</v>
      </c>
      <c r="P95" s="76">
        <f t="shared" si="31"/>
        <v>-43.608829238354936</v>
      </c>
      <c r="Q95" s="76">
        <f t="shared" si="31"/>
        <v>-47.184753235900047</v>
      </c>
      <c r="R95" s="76">
        <f t="shared" si="31"/>
        <v>-50.72360972859255</v>
      </c>
      <c r="S95" s="76">
        <f t="shared" si="31"/>
        <v>-54.477156848508393</v>
      </c>
      <c r="T95" s="76">
        <f t="shared" si="31"/>
        <v>-58.018172043661437</v>
      </c>
      <c r="U95" s="76">
        <f t="shared" si="31"/>
        <v>-61.789353226499429</v>
      </c>
      <c r="V95" s="76">
        <f t="shared" si="31"/>
        <v>-65.805661186221883</v>
      </c>
      <c r="W95" s="76">
        <f t="shared" si="31"/>
        <v>-70.083029163326316</v>
      </c>
      <c r="X95" s="76">
        <f t="shared" si="31"/>
        <v>-74.638426058942514</v>
      </c>
      <c r="Y95" s="76">
        <f t="shared" si="31"/>
        <v>-79.489923752773777</v>
      </c>
      <c r="Z95" s="76">
        <f t="shared" si="31"/>
        <v>-84.656768796704071</v>
      </c>
      <c r="AA95" s="76">
        <f t="shared" si="31"/>
        <v>-90.159458768489841</v>
      </c>
      <c r="AB95" s="76">
        <f t="shared" si="31"/>
        <v>-96.019823588441668</v>
      </c>
      <c r="AC95" s="76">
        <f t="shared" si="31"/>
        <v>-102.26111212169037</v>
      </c>
      <c r="AD95" s="76">
        <f t="shared" si="31"/>
        <v>-108.90808440960024</v>
      </c>
      <c r="AE95" s="76">
        <f t="shared" si="31"/>
        <v>-115.98710989622425</v>
      </c>
      <c r="AF95" s="76">
        <f t="shared" si="31"/>
        <v>-123.52627203947881</v>
      </c>
    </row>
    <row r="96" spans="1:32" hidden="1" x14ac:dyDescent="0.35"/>
    <row r="97" spans="1:32" hidden="1" x14ac:dyDescent="0.35">
      <c r="A97" s="64" t="s">
        <v>230</v>
      </c>
      <c r="F97">
        <f>F55</f>
        <v>30.7</v>
      </c>
      <c r="G97" s="78">
        <v>30</v>
      </c>
      <c r="H97" s="78">
        <v>29.8</v>
      </c>
      <c r="I97" s="78">
        <v>29.8</v>
      </c>
      <c r="J97" s="78">
        <v>29.8</v>
      </c>
      <c r="K97" s="78">
        <v>29.8</v>
      </c>
      <c r="L97" s="78">
        <v>29.8</v>
      </c>
      <c r="M97" s="78">
        <v>31</v>
      </c>
      <c r="N97" s="78">
        <v>31</v>
      </c>
      <c r="O97" s="78">
        <v>31</v>
      </c>
      <c r="P97" s="78">
        <v>31</v>
      </c>
      <c r="Q97" s="78">
        <v>31</v>
      </c>
      <c r="R97" s="78">
        <v>31</v>
      </c>
      <c r="S97" s="78">
        <v>31</v>
      </c>
      <c r="T97" s="78">
        <v>31</v>
      </c>
      <c r="U97" s="78">
        <v>31</v>
      </c>
      <c r="V97" s="78">
        <v>31</v>
      </c>
      <c r="W97" s="78">
        <v>31</v>
      </c>
      <c r="X97" s="78">
        <v>31</v>
      </c>
      <c r="Y97" s="78">
        <v>31</v>
      </c>
      <c r="Z97" s="78">
        <v>31</v>
      </c>
      <c r="AA97" s="78">
        <v>31</v>
      </c>
      <c r="AB97" s="78">
        <v>31</v>
      </c>
      <c r="AC97" s="78">
        <v>31</v>
      </c>
      <c r="AD97" s="78">
        <v>31</v>
      </c>
      <c r="AE97" s="78">
        <v>31</v>
      </c>
      <c r="AF97" s="78">
        <v>31</v>
      </c>
    </row>
    <row r="98" spans="1:32" hidden="1" x14ac:dyDescent="0.35">
      <c r="F98" s="76">
        <f>F97/100*F4</f>
        <v>936.95636378330983</v>
      </c>
      <c r="G98" s="76">
        <f t="shared" ref="G98:AF98" si="32">G97/100*G4</f>
        <v>1063.9232478859681</v>
      </c>
      <c r="H98" s="76">
        <f t="shared" si="32"/>
        <v>1196.9698078306512</v>
      </c>
      <c r="I98" s="76">
        <f t="shared" si="32"/>
        <v>1348.4972311589015</v>
      </c>
      <c r="J98" s="76">
        <f t="shared" si="32"/>
        <v>1506.4778636061542</v>
      </c>
      <c r="K98" s="76">
        <f t="shared" si="32"/>
        <v>1677.1221367697178</v>
      </c>
      <c r="L98" s="76">
        <f t="shared" si="32"/>
        <v>1853.2199611305384</v>
      </c>
      <c r="M98" s="76">
        <f t="shared" si="32"/>
        <v>2114.8473563143025</v>
      </c>
      <c r="N98" s="76">
        <f t="shared" si="32"/>
        <v>2300.9539236699611</v>
      </c>
      <c r="O98" s="76">
        <f t="shared" si="32"/>
        <v>2496.535007181908</v>
      </c>
      <c r="P98" s="76">
        <f t="shared" si="32"/>
        <v>2703.747412778006</v>
      </c>
      <c r="Q98" s="76">
        <f t="shared" si="32"/>
        <v>2925.4547006258026</v>
      </c>
      <c r="R98" s="76">
        <f t="shared" si="32"/>
        <v>3144.8638031727378</v>
      </c>
      <c r="S98" s="76">
        <f t="shared" si="32"/>
        <v>3377.5837246075203</v>
      </c>
      <c r="T98" s="76">
        <f t="shared" si="32"/>
        <v>3597.126666707009</v>
      </c>
      <c r="U98" s="76">
        <f t="shared" si="32"/>
        <v>3830.9399000429644</v>
      </c>
      <c r="V98" s="76">
        <f t="shared" si="32"/>
        <v>4079.9509935457568</v>
      </c>
      <c r="W98" s="76">
        <f t="shared" si="32"/>
        <v>4345.1478081262312</v>
      </c>
      <c r="X98" s="76">
        <f t="shared" si="32"/>
        <v>4627.5824156544359</v>
      </c>
      <c r="Y98" s="76">
        <f t="shared" si="32"/>
        <v>4928.375272671974</v>
      </c>
      <c r="Z98" s="76">
        <f t="shared" si="32"/>
        <v>5248.7196653956526</v>
      </c>
      <c r="AA98" s="76">
        <f t="shared" si="32"/>
        <v>5589.88644364637</v>
      </c>
      <c r="AB98" s="76">
        <f t="shared" si="32"/>
        <v>5953.2290624833831</v>
      </c>
      <c r="AC98" s="76">
        <f t="shared" si="32"/>
        <v>6340.1889515448029</v>
      </c>
      <c r="AD98" s="76">
        <f t="shared" si="32"/>
        <v>6752.3012333952147</v>
      </c>
      <c r="AE98" s="76">
        <f t="shared" si="32"/>
        <v>7191.2008135659034</v>
      </c>
      <c r="AF98" s="76">
        <f t="shared" si="32"/>
        <v>7658.6288664476861</v>
      </c>
    </row>
    <row r="99" spans="1:32" hidden="1" x14ac:dyDescent="0.35"/>
    <row r="100" spans="1:32" hidden="1" x14ac:dyDescent="0.35"/>
    <row r="101" spans="1:32" hidden="1" x14ac:dyDescent="0.35">
      <c r="A101" s="64" t="s">
        <v>231</v>
      </c>
      <c r="F101" s="75">
        <f>F97-F91</f>
        <v>34.06570044746293</v>
      </c>
      <c r="G101" s="75">
        <f>G97-G91</f>
        <v>33.200000000000003</v>
      </c>
      <c r="H101" s="75">
        <f t="shared" ref="H101:AF101" si="33">H97-H91</f>
        <v>33.1</v>
      </c>
      <c r="I101" s="75">
        <f t="shared" si="33"/>
        <v>32.9</v>
      </c>
      <c r="J101" s="75">
        <f t="shared" si="33"/>
        <v>32.799999999999997</v>
      </c>
      <c r="K101" s="75">
        <f>K97-K91</f>
        <v>32.6</v>
      </c>
      <c r="L101" s="75">
        <f t="shared" si="33"/>
        <v>32.5</v>
      </c>
      <c r="M101" s="75">
        <f t="shared" si="33"/>
        <v>33.5</v>
      </c>
      <c r="N101" s="75">
        <f t="shared" si="33"/>
        <v>33.5</v>
      </c>
      <c r="O101" s="75">
        <f t="shared" si="33"/>
        <v>33.5</v>
      </c>
      <c r="P101" s="75">
        <f t="shared" si="33"/>
        <v>33.5</v>
      </c>
      <c r="Q101" s="75">
        <f t="shared" si="33"/>
        <v>33.5</v>
      </c>
      <c r="R101" s="75">
        <f t="shared" si="33"/>
        <v>33.5</v>
      </c>
      <c r="S101" s="75">
        <f t="shared" si="33"/>
        <v>33.5</v>
      </c>
      <c r="T101" s="75">
        <f t="shared" si="33"/>
        <v>33.5</v>
      </c>
      <c r="U101" s="75">
        <f t="shared" si="33"/>
        <v>33.5</v>
      </c>
      <c r="V101" s="75">
        <f t="shared" si="33"/>
        <v>33.5</v>
      </c>
      <c r="W101" s="75">
        <f t="shared" si="33"/>
        <v>33.5</v>
      </c>
      <c r="X101" s="75">
        <f t="shared" si="33"/>
        <v>33.5</v>
      </c>
      <c r="Y101" s="75">
        <f t="shared" si="33"/>
        <v>33.5</v>
      </c>
      <c r="Z101" s="75">
        <f t="shared" si="33"/>
        <v>33.5</v>
      </c>
      <c r="AA101" s="75">
        <f t="shared" si="33"/>
        <v>33.5</v>
      </c>
      <c r="AB101" s="75">
        <f t="shared" si="33"/>
        <v>33.5</v>
      </c>
      <c r="AC101" s="75">
        <f t="shared" si="33"/>
        <v>33.5</v>
      </c>
      <c r="AD101" s="75">
        <f t="shared" si="33"/>
        <v>33.5</v>
      </c>
      <c r="AE101" s="75">
        <f t="shared" si="33"/>
        <v>33.5</v>
      </c>
      <c r="AF101" s="75">
        <f t="shared" si="33"/>
        <v>33.5</v>
      </c>
    </row>
    <row r="102" spans="1:32" hidden="1" x14ac:dyDescent="0.35">
      <c r="F102" s="76">
        <f>F101/100*F4</f>
        <v>1039.6767042666561</v>
      </c>
      <c r="G102" s="76">
        <f>G101/100*G4</f>
        <v>1177.408394327138</v>
      </c>
      <c r="H102" s="76">
        <f>H101/100*H4</f>
        <v>1329.5201556776699</v>
      </c>
      <c r="I102" s="76">
        <f t="shared" ref="I102:AF102" si="34">I101/100*I4</f>
        <v>1488.7771444673779</v>
      </c>
      <c r="J102" s="76">
        <f t="shared" si="34"/>
        <v>1658.1367089356327</v>
      </c>
      <c r="K102" s="76">
        <f t="shared" si="34"/>
        <v>1834.7040825064701</v>
      </c>
      <c r="L102" s="76">
        <f t="shared" si="34"/>
        <v>2021.1291522396814</v>
      </c>
      <c r="M102" s="76">
        <f t="shared" si="34"/>
        <v>2285.3995624686822</v>
      </c>
      <c r="N102" s="76">
        <f t="shared" si="34"/>
        <v>2486.5147239659259</v>
      </c>
      <c r="O102" s="76">
        <f t="shared" si="34"/>
        <v>2697.8684755030299</v>
      </c>
      <c r="P102" s="76">
        <f t="shared" si="34"/>
        <v>2921.7915589697809</v>
      </c>
      <c r="Q102" s="76">
        <f t="shared" si="34"/>
        <v>3161.3784668053031</v>
      </c>
      <c r="R102" s="76">
        <f t="shared" si="34"/>
        <v>3398.4818518157008</v>
      </c>
      <c r="S102" s="76">
        <f t="shared" si="34"/>
        <v>3649.9695088500625</v>
      </c>
      <c r="T102" s="76">
        <f t="shared" si="34"/>
        <v>3887.2175269253162</v>
      </c>
      <c r="U102" s="76">
        <f t="shared" si="34"/>
        <v>4139.8866661754619</v>
      </c>
      <c r="V102" s="76">
        <f t="shared" si="34"/>
        <v>4408.9792994768668</v>
      </c>
      <c r="W102" s="76">
        <f t="shared" si="34"/>
        <v>4695.5629539428628</v>
      </c>
      <c r="X102" s="76">
        <f t="shared" si="34"/>
        <v>5000.7745459491489</v>
      </c>
      <c r="Y102" s="76">
        <f t="shared" si="34"/>
        <v>5325.8248914358428</v>
      </c>
      <c r="Z102" s="76">
        <f t="shared" si="34"/>
        <v>5672.003509379173</v>
      </c>
      <c r="AA102" s="76">
        <f t="shared" si="34"/>
        <v>6040.68373748882</v>
      </c>
      <c r="AB102" s="76">
        <f t="shared" si="34"/>
        <v>6433.3281804255921</v>
      </c>
      <c r="AC102" s="76">
        <f t="shared" si="34"/>
        <v>6851.4945121532546</v>
      </c>
      <c r="AD102" s="76">
        <f t="shared" si="34"/>
        <v>7296.841655443216</v>
      </c>
      <c r="AE102" s="76">
        <f t="shared" si="34"/>
        <v>7771.136363047025</v>
      </c>
      <c r="AF102" s="76">
        <f t="shared" si="34"/>
        <v>8276.2602266450813</v>
      </c>
    </row>
    <row r="103" spans="1:32" hidden="1" x14ac:dyDescent="0.35"/>
    <row r="104" spans="1:32" hidden="1" x14ac:dyDescent="0.35">
      <c r="A104" s="64" t="s">
        <v>232</v>
      </c>
      <c r="B104" s="74" t="s">
        <v>233</v>
      </c>
      <c r="F104" s="69">
        <f>F58</f>
        <v>8</v>
      </c>
      <c r="G104" s="79">
        <f>G101-G88-G110</f>
        <v>7.2000000000000028</v>
      </c>
      <c r="H104" s="79">
        <f>H101-H88-H110</f>
        <v>7.1000000000000014</v>
      </c>
      <c r="I104" s="79">
        <f t="shared" ref="I104:AF104" si="35">I101-I88-I110</f>
        <v>6.884999999999998</v>
      </c>
      <c r="J104" s="79">
        <f t="shared" si="35"/>
        <v>6.769999999999996</v>
      </c>
      <c r="K104" s="79">
        <f t="shared" si="35"/>
        <v>6.5549999999999997</v>
      </c>
      <c r="L104" s="79">
        <f t="shared" si="35"/>
        <v>6.4399999999999977</v>
      </c>
      <c r="M104" s="79">
        <f t="shared" si="35"/>
        <v>7.4249999999999972</v>
      </c>
      <c r="N104" s="79">
        <f t="shared" si="35"/>
        <v>7.4099999999999966</v>
      </c>
      <c r="O104" s="79">
        <f t="shared" si="35"/>
        <v>7.394999999999996</v>
      </c>
      <c r="P104" s="79">
        <f t="shared" si="35"/>
        <v>7.3799999999999955</v>
      </c>
      <c r="Q104" s="79">
        <f t="shared" si="35"/>
        <v>7.3649999999999949</v>
      </c>
      <c r="R104" s="79">
        <f t="shared" si="35"/>
        <v>7.3499999999999943</v>
      </c>
      <c r="S104" s="79">
        <f t="shared" si="35"/>
        <v>7.3349999999999937</v>
      </c>
      <c r="T104" s="79">
        <f t="shared" si="35"/>
        <v>7.3199999999999932</v>
      </c>
      <c r="U104" s="79">
        <f t="shared" si="35"/>
        <v>7.3049999999999926</v>
      </c>
      <c r="V104" s="79">
        <f t="shared" si="35"/>
        <v>7.289999999999992</v>
      </c>
      <c r="W104" s="79">
        <f t="shared" si="35"/>
        <v>7.2749999999999915</v>
      </c>
      <c r="X104" s="79">
        <f t="shared" si="35"/>
        <v>7.2599999999999909</v>
      </c>
      <c r="Y104" s="79">
        <f t="shared" si="35"/>
        <v>7.2449999999999903</v>
      </c>
      <c r="Z104" s="79">
        <f t="shared" si="35"/>
        <v>7.2299999999999898</v>
      </c>
      <c r="AA104" s="79">
        <f t="shared" si="35"/>
        <v>7.2149999999999892</v>
      </c>
      <c r="AB104" s="79">
        <f t="shared" si="35"/>
        <v>7.1999999999999886</v>
      </c>
      <c r="AC104" s="79">
        <f t="shared" si="35"/>
        <v>7.1849999999999881</v>
      </c>
      <c r="AD104" s="79">
        <f t="shared" si="35"/>
        <v>7.1699999999999875</v>
      </c>
      <c r="AE104" s="79">
        <f t="shared" si="35"/>
        <v>7.1549999999999869</v>
      </c>
      <c r="AF104" s="79">
        <f t="shared" si="35"/>
        <v>7.1399999999999864</v>
      </c>
    </row>
    <row r="105" spans="1:32" hidden="1" x14ac:dyDescent="0.35">
      <c r="A105" s="64"/>
      <c r="B105" s="74" t="s">
        <v>234</v>
      </c>
      <c r="F105" s="69">
        <f>F104/100*F4</f>
        <v>244.15801010639996</v>
      </c>
      <c r="G105" s="80">
        <f>G104/100*G4</f>
        <v>255.34157949263241</v>
      </c>
      <c r="H105" s="80">
        <f t="shared" ref="H105:AF105" si="36">H104/100*H4</f>
        <v>285.18408173146395</v>
      </c>
      <c r="I105" s="80">
        <f t="shared" si="36"/>
        <v>311.55716229963207</v>
      </c>
      <c r="J105" s="80">
        <f t="shared" si="36"/>
        <v>342.24346096018985</v>
      </c>
      <c r="K105" s="80">
        <f t="shared" si="36"/>
        <v>368.91059082300336</v>
      </c>
      <c r="L105" s="80">
        <f t="shared" si="36"/>
        <v>400.49451508995509</v>
      </c>
      <c r="M105" s="80">
        <f t="shared" si="36"/>
        <v>506.54005227850615</v>
      </c>
      <c r="N105" s="80">
        <f t="shared" si="36"/>
        <v>550.00221207723894</v>
      </c>
      <c r="O105" s="80">
        <f t="shared" si="36"/>
        <v>595.5443992938774</v>
      </c>
      <c r="P105" s="80">
        <f t="shared" si="36"/>
        <v>643.6663195581184</v>
      </c>
      <c r="Q105" s="80">
        <f t="shared" si="36"/>
        <v>695.03141516480719</v>
      </c>
      <c r="R105" s="80">
        <f t="shared" si="36"/>
        <v>745.63706301030982</v>
      </c>
      <c r="S105" s="80">
        <f t="shared" si="36"/>
        <v>799.17989096761755</v>
      </c>
      <c r="T105" s="80">
        <f t="shared" si="36"/>
        <v>849.38603871920259</v>
      </c>
      <c r="U105" s="80">
        <f t="shared" si="36"/>
        <v>902.74245063915566</v>
      </c>
      <c r="V105" s="80">
        <f t="shared" si="36"/>
        <v>959.44654009511407</v>
      </c>
      <c r="W105" s="80">
        <f t="shared" si="36"/>
        <v>1019.7080743263966</v>
      </c>
      <c r="X105" s="80">
        <f t="shared" si="36"/>
        <v>1083.749946375844</v>
      </c>
      <c r="Y105" s="80">
        <f t="shared" si="36"/>
        <v>1151.8089951776906</v>
      </c>
      <c r="Z105" s="80">
        <f t="shared" si="36"/>
        <v>1224.136876800339</v>
      </c>
      <c r="AA105" s="80">
        <f t="shared" si="36"/>
        <v>1301.0009900293064</v>
      </c>
      <c r="AB105" s="80">
        <f t="shared" si="36"/>
        <v>1382.6854596735577</v>
      </c>
      <c r="AC105" s="80">
        <f t="shared" si="36"/>
        <v>1469.4921811886882</v>
      </c>
      <c r="AD105" s="80">
        <f t="shared" si="36"/>
        <v>1561.7419304336647</v>
      </c>
      <c r="AE105" s="80">
        <f t="shared" si="36"/>
        <v>1659.7755426149658</v>
      </c>
      <c r="AF105" s="80">
        <f t="shared" si="36"/>
        <v>1763.955164723754</v>
      </c>
    </row>
    <row r="106" spans="1:32" hidden="1" x14ac:dyDescent="0.35">
      <c r="A106" s="64"/>
      <c r="B106" s="74"/>
    </row>
    <row r="107" spans="1:32" hidden="1" x14ac:dyDescent="0.35">
      <c r="A107" s="64"/>
      <c r="B107" s="74"/>
    </row>
    <row r="108" spans="1:32" hidden="1" x14ac:dyDescent="0.35">
      <c r="A108" s="64"/>
    </row>
    <row r="109" spans="1:32" hidden="1" x14ac:dyDescent="0.35">
      <c r="A109" s="64"/>
    </row>
    <row r="110" spans="1:32" hidden="1" x14ac:dyDescent="0.35">
      <c r="A110" s="64" t="s">
        <v>235</v>
      </c>
      <c r="B110" s="74" t="s">
        <v>236</v>
      </c>
      <c r="C110" s="66"/>
      <c r="D110" s="66"/>
      <c r="E110" s="66"/>
      <c r="F110" s="66">
        <f>F101-F88-F104</f>
        <v>24.054002014884837</v>
      </c>
      <c r="G110" s="75">
        <v>24</v>
      </c>
      <c r="H110" s="75">
        <v>24</v>
      </c>
      <c r="I110" s="75">
        <f>H110+0.015</f>
        <v>24.015000000000001</v>
      </c>
      <c r="J110" s="75">
        <f t="shared" ref="J110:AF110" si="37">I110+0.015</f>
        <v>24.03</v>
      </c>
      <c r="K110" s="75">
        <f t="shared" si="37"/>
        <v>24.045000000000002</v>
      </c>
      <c r="L110" s="75">
        <f t="shared" si="37"/>
        <v>24.060000000000002</v>
      </c>
      <c r="M110" s="75">
        <f t="shared" si="37"/>
        <v>24.075000000000003</v>
      </c>
      <c r="N110" s="75">
        <f t="shared" si="37"/>
        <v>24.090000000000003</v>
      </c>
      <c r="O110" s="75">
        <f t="shared" si="37"/>
        <v>24.105000000000004</v>
      </c>
      <c r="P110" s="75">
        <f t="shared" si="37"/>
        <v>24.120000000000005</v>
      </c>
      <c r="Q110" s="75">
        <f t="shared" si="37"/>
        <v>24.135000000000005</v>
      </c>
      <c r="R110" s="75">
        <f t="shared" si="37"/>
        <v>24.150000000000006</v>
      </c>
      <c r="S110" s="75">
        <f t="shared" si="37"/>
        <v>24.165000000000006</v>
      </c>
      <c r="T110" s="75">
        <f t="shared" si="37"/>
        <v>24.180000000000007</v>
      </c>
      <c r="U110" s="75">
        <f t="shared" si="37"/>
        <v>24.195000000000007</v>
      </c>
      <c r="V110" s="75">
        <f t="shared" si="37"/>
        <v>24.210000000000008</v>
      </c>
      <c r="W110" s="75">
        <f t="shared" si="37"/>
        <v>24.225000000000009</v>
      </c>
      <c r="X110" s="75">
        <f t="shared" si="37"/>
        <v>24.240000000000009</v>
      </c>
      <c r="Y110" s="75">
        <f t="shared" si="37"/>
        <v>24.25500000000001</v>
      </c>
      <c r="Z110" s="75">
        <f t="shared" si="37"/>
        <v>24.27000000000001</v>
      </c>
      <c r="AA110" s="75">
        <f t="shared" si="37"/>
        <v>24.285000000000011</v>
      </c>
      <c r="AB110" s="75">
        <f t="shared" si="37"/>
        <v>24.300000000000011</v>
      </c>
      <c r="AC110" s="75">
        <f t="shared" si="37"/>
        <v>24.315000000000012</v>
      </c>
      <c r="AD110" s="75">
        <f t="shared" si="37"/>
        <v>24.330000000000013</v>
      </c>
      <c r="AE110" s="75">
        <f t="shared" si="37"/>
        <v>24.345000000000013</v>
      </c>
      <c r="AF110" s="75">
        <f t="shared" si="37"/>
        <v>24.360000000000014</v>
      </c>
    </row>
    <row r="111" spans="1:32" hidden="1" x14ac:dyDescent="0.35">
      <c r="F111" s="76">
        <f>F110/100*F4</f>
        <v>734.1221583812021</v>
      </c>
      <c r="G111" s="76">
        <f t="shared" ref="G111:AF111" si="38">G110/100*G4</f>
        <v>851.13859830877448</v>
      </c>
      <c r="H111" s="76">
        <f t="shared" si="38"/>
        <v>964.0025297964977</v>
      </c>
      <c r="I111" s="76">
        <f t="shared" si="38"/>
        <v>1086.7168122913095</v>
      </c>
      <c r="J111" s="76">
        <f t="shared" si="38"/>
        <v>1214.7873510891238</v>
      </c>
      <c r="K111" s="76">
        <f t="shared" si="38"/>
        <v>1353.2349590143581</v>
      </c>
      <c r="L111" s="76">
        <f t="shared" si="38"/>
        <v>1496.2574585503612</v>
      </c>
      <c r="M111" s="76">
        <f t="shared" si="38"/>
        <v>1642.4177452666722</v>
      </c>
      <c r="N111" s="76">
        <f t="shared" si="38"/>
        <v>1788.0638716519154</v>
      </c>
      <c r="O111" s="76">
        <f t="shared" si="38"/>
        <v>1941.2573015522548</v>
      </c>
      <c r="P111" s="76">
        <f t="shared" si="38"/>
        <v>2103.6899224582426</v>
      </c>
      <c r="Q111" s="76">
        <f t="shared" si="38"/>
        <v>2277.6080386968956</v>
      </c>
      <c r="R111" s="76">
        <f t="shared" si="38"/>
        <v>2449.9503498910203</v>
      </c>
      <c r="S111" s="76">
        <f t="shared" si="38"/>
        <v>2632.8809904884115</v>
      </c>
      <c r="T111" s="76">
        <f t="shared" si="38"/>
        <v>2805.7588000314677</v>
      </c>
      <c r="U111" s="76">
        <f t="shared" si="38"/>
        <v>2989.9868026303084</v>
      </c>
      <c r="V111" s="76">
        <f t="shared" si="38"/>
        <v>3186.3101146368649</v>
      </c>
      <c r="W111" s="76">
        <f t="shared" si="38"/>
        <v>3395.5227629631609</v>
      </c>
      <c r="X111" s="76">
        <f t="shared" si="38"/>
        <v>3618.4708953375343</v>
      </c>
      <c r="Y111" s="76">
        <f t="shared" si="38"/>
        <v>3856.0562012470573</v>
      </c>
      <c r="Z111" s="76">
        <f t="shared" si="38"/>
        <v>4109.2395573920176</v>
      </c>
      <c r="AA111" s="76">
        <f t="shared" si="38"/>
        <v>4379.0449123855533</v>
      </c>
      <c r="AB111" s="76">
        <f t="shared" si="38"/>
        <v>4666.5634263982674</v>
      </c>
      <c r="AC111" s="76">
        <f t="shared" si="38"/>
        <v>4972.9578824778046</v>
      </c>
      <c r="AD111" s="76">
        <f t="shared" si="38"/>
        <v>5299.4673873711499</v>
      </c>
      <c r="AE111" s="76">
        <f t="shared" si="38"/>
        <v>5647.4123808471622</v>
      </c>
      <c r="AF111" s="76">
        <f t="shared" si="38"/>
        <v>6018.1999737634114</v>
      </c>
    </row>
    <row r="112" spans="1:32" hidden="1" x14ac:dyDescent="0.35"/>
    <row r="113" spans="1:32" hidden="1" x14ac:dyDescent="0.35">
      <c r="A113" s="64" t="s">
        <v>249</v>
      </c>
      <c r="F113" s="66">
        <f>(F114/F4)*100</f>
        <v>48.511307302260235</v>
      </c>
      <c r="G113" s="66">
        <f>(G114/G4)*100</f>
        <v>42.947927830255786</v>
      </c>
      <c r="H113" s="66">
        <f t="shared" ref="H113:AF113" si="39">(H114/H4)*100</f>
        <v>39.219650585799869</v>
      </c>
      <c r="I113" s="66">
        <f t="shared" si="39"/>
        <v>35.912631824631738</v>
      </c>
      <c r="J113" s="66">
        <f t="shared" si="39"/>
        <v>33.146562355200814</v>
      </c>
      <c r="K113" s="66">
        <f t="shared" si="39"/>
        <v>30.573957035072812</v>
      </c>
      <c r="L113" s="66">
        <f t="shared" si="39"/>
        <v>28.368739398255943</v>
      </c>
      <c r="M113" s="66">
        <f t="shared" si="39"/>
        <v>26.360291156112986</v>
      </c>
      <c r="N113" s="66">
        <f t="shared" si="39"/>
        <v>24.72820878319208</v>
      </c>
      <c r="O113" s="66">
        <f t="shared" si="39"/>
        <v>23.290975837043394</v>
      </c>
      <c r="P113" s="66">
        <f t="shared" si="39"/>
        <v>22.005979535589468</v>
      </c>
      <c r="Q113" s="66">
        <f t="shared" si="39"/>
        <v>20.838243563391377</v>
      </c>
      <c r="R113" s="66">
        <f t="shared" si="39"/>
        <v>19.884412617108254</v>
      </c>
      <c r="S113" s="66">
        <f t="shared" si="39"/>
        <v>19.014350667698558</v>
      </c>
      <c r="T113" s="66">
        <f t="shared" si="39"/>
        <v>18.353850392205221</v>
      </c>
      <c r="U113" s="66">
        <f t="shared" si="39"/>
        <v>17.7336623400988</v>
      </c>
      <c r="V113" s="66">
        <f t="shared" si="39"/>
        <v>17.151326140937844</v>
      </c>
      <c r="W113" s="66">
        <f t="shared" si="39"/>
        <v>16.604531587735064</v>
      </c>
      <c r="X113" s="66">
        <f t="shared" si="39"/>
        <v>16.091109472051706</v>
      </c>
      <c r="Y113" s="66">
        <f t="shared" si="39"/>
        <v>15.609022978452305</v>
      </c>
      <c r="Z113" s="66">
        <f t="shared" si="39"/>
        <v>15.156359604180567</v>
      </c>
      <c r="AA113" s="66">
        <f t="shared" si="39"/>
        <v>14.731323572000532</v>
      </c>
      <c r="AB113" s="66">
        <f t="shared" si="39"/>
        <v>14.332228706103789</v>
      </c>
      <c r="AC113" s="66">
        <f t="shared" si="39"/>
        <v>13.95749174282046</v>
      </c>
      <c r="AD113" s="66">
        <f t="shared" si="39"/>
        <v>13.605626049596678</v>
      </c>
      <c r="AE113" s="66">
        <f t="shared" si="39"/>
        <v>13.275235727320824</v>
      </c>
      <c r="AF113" s="66">
        <f t="shared" si="39"/>
        <v>12.965010072601716</v>
      </c>
    </row>
    <row r="114" spans="1:32" hidden="1" x14ac:dyDescent="0.35">
      <c r="F114" s="126">
        <f>F11</f>
        <v>1480.5530323224912</v>
      </c>
      <c r="G114" s="126">
        <f>F114-G95</f>
        <v>1523.1099622379299</v>
      </c>
      <c r="H114" s="126">
        <f t="shared" ref="H114:AF114" si="40">G114-H95</f>
        <v>1575.3267659352402</v>
      </c>
      <c r="I114" s="126">
        <f t="shared" si="40"/>
        <v>1625.1035093672801</v>
      </c>
      <c r="J114" s="126">
        <f t="shared" si="40"/>
        <v>1675.6564578104396</v>
      </c>
      <c r="K114" s="126">
        <f t="shared" si="40"/>
        <v>1720.679870878083</v>
      </c>
      <c r="L114" s="126">
        <f t="shared" si="40"/>
        <v>1764.2118833878608</v>
      </c>
      <c r="M114" s="126">
        <f t="shared" si="40"/>
        <v>1798.3223246187367</v>
      </c>
      <c r="N114" s="126">
        <f t="shared" si="40"/>
        <v>1835.4344846779297</v>
      </c>
      <c r="O114" s="126">
        <f t="shared" si="40"/>
        <v>1875.701178342154</v>
      </c>
      <c r="P114" s="126">
        <f t="shared" si="40"/>
        <v>1919.3100075805089</v>
      </c>
      <c r="Q114" s="126">
        <f t="shared" si="40"/>
        <v>1966.4947608164089</v>
      </c>
      <c r="R114" s="126">
        <f t="shared" si="40"/>
        <v>2017.2183705450013</v>
      </c>
      <c r="S114" s="126">
        <f t="shared" si="40"/>
        <v>2071.6955273935096</v>
      </c>
      <c r="T114" s="126">
        <f t="shared" si="40"/>
        <v>2129.7136994371708</v>
      </c>
      <c r="U114" s="126">
        <f t="shared" si="40"/>
        <v>2191.5030526636701</v>
      </c>
      <c r="V114" s="126">
        <f t="shared" si="40"/>
        <v>2257.3087138498922</v>
      </c>
      <c r="W114" s="126">
        <f t="shared" si="40"/>
        <v>2327.3917430132187</v>
      </c>
      <c r="X114" s="126">
        <f t="shared" si="40"/>
        <v>2402.0301690721612</v>
      </c>
      <c r="Y114" s="126">
        <f t="shared" si="40"/>
        <v>2481.5200928249351</v>
      </c>
      <c r="Z114" s="126">
        <f t="shared" si="40"/>
        <v>2566.1768616216391</v>
      </c>
      <c r="AA114" s="126">
        <f t="shared" si="40"/>
        <v>2656.336320390129</v>
      </c>
      <c r="AB114" s="126">
        <f t="shared" si="40"/>
        <v>2752.3561439785708</v>
      </c>
      <c r="AC114" s="126">
        <f t="shared" si="40"/>
        <v>2854.6172561002613</v>
      </c>
      <c r="AD114" s="126">
        <f t="shared" si="40"/>
        <v>2963.5253405098615</v>
      </c>
      <c r="AE114" s="126">
        <f t="shared" si="40"/>
        <v>3079.5124504060859</v>
      </c>
      <c r="AF114" s="126">
        <f t="shared" si="40"/>
        <v>3203.0387224455649</v>
      </c>
    </row>
    <row r="115" spans="1:32" hidden="1" x14ac:dyDescent="0.35"/>
    <row r="116" spans="1:32" hidden="1" x14ac:dyDescent="0.35"/>
  </sheetData>
  <conditionalFormatting sqref="AG7:XFD21 A50 A22:XFD46">
    <cfRule type="expression" dxfId="86" priority="19">
      <formula>$BA$4="hide"</formula>
    </cfRule>
  </conditionalFormatting>
  <conditionalFormatting sqref="AG8:XFD21 A50 A22:XFD46">
    <cfRule type="expression" dxfId="85" priority="20">
      <formula>$BA$5="hide"</formula>
    </cfRule>
  </conditionalFormatting>
  <conditionalFormatting sqref="AG9:XFD21 A50 A22:XFD46">
    <cfRule type="expression" dxfId="84" priority="21">
      <formula>$BA$6="hide"</formula>
    </cfRule>
  </conditionalFormatting>
  <conditionalFormatting sqref="AG10:XFD21 A50 A22:XFD46">
    <cfRule type="expression" dxfId="83" priority="22">
      <formula>$BA$7="hide"</formula>
    </cfRule>
  </conditionalFormatting>
  <conditionalFormatting sqref="AG11:XFD21 A50 A22:XFD46">
    <cfRule type="expression" dxfId="82" priority="23">
      <formula>$BA$8="hide"</formula>
    </cfRule>
  </conditionalFormatting>
  <conditionalFormatting sqref="A50 A22:XFD46 C13:XFD21">
    <cfRule type="expression" dxfId="81" priority="24">
      <formula>$BA$9="hide"</formula>
    </cfRule>
  </conditionalFormatting>
  <conditionalFormatting sqref="B2:AZ2">
    <cfRule type="expression" dxfId="80" priority="47">
      <formula>$BA$118="hide"</formula>
    </cfRule>
  </conditionalFormatting>
  <conditionalFormatting sqref="B2:AZ2">
    <cfRule type="expression" dxfId="79" priority="46">
      <formula>$BA$119="hide"</formula>
    </cfRule>
  </conditionalFormatting>
  <conditionalFormatting sqref="B2:AZ2">
    <cfRule type="expression" dxfId="78" priority="45">
      <formula>$BA$120="hide"</formula>
    </cfRule>
  </conditionalFormatting>
  <conditionalFormatting sqref="B2:AZ2">
    <cfRule type="expression" dxfId="77" priority="44">
      <formula>$BA$121="hide"</formula>
    </cfRule>
  </conditionalFormatting>
  <conditionalFormatting sqref="B2:AZ2">
    <cfRule type="expression" dxfId="76" priority="43">
      <formula>$BA$122="hide"</formula>
    </cfRule>
  </conditionalFormatting>
  <conditionalFormatting sqref="B2:AZ2">
    <cfRule type="expression" dxfId="75" priority="42">
      <formula>$BA$123="hide"</formula>
    </cfRule>
  </conditionalFormatting>
  <conditionalFormatting sqref="A3:AZ3">
    <cfRule type="expression" dxfId="74" priority="77">
      <formula>$BA$118="hide"</formula>
    </cfRule>
  </conditionalFormatting>
  <conditionalFormatting sqref="A3:AZ3">
    <cfRule type="expression" dxfId="73" priority="76">
      <formula>$BA$119="hide"</formula>
    </cfRule>
  </conditionalFormatting>
  <conditionalFormatting sqref="A3:AZ3">
    <cfRule type="expression" dxfId="72" priority="75">
      <formula>$BA$120="hide"</formula>
    </cfRule>
  </conditionalFormatting>
  <conditionalFormatting sqref="A3:AZ3">
    <cfRule type="expression" dxfId="71" priority="74">
      <formula>$BA$121="hide"</formula>
    </cfRule>
  </conditionalFormatting>
  <conditionalFormatting sqref="A3:AZ3">
    <cfRule type="expression" dxfId="70" priority="73">
      <formula>$BA$122="hide"</formula>
    </cfRule>
  </conditionalFormatting>
  <conditionalFormatting sqref="A3:AZ3">
    <cfRule type="expression" dxfId="69" priority="72">
      <formula>$BA$123="hide"</formula>
    </cfRule>
  </conditionalFormatting>
  <conditionalFormatting sqref="A22:AZ22">
    <cfRule type="expression" dxfId="68" priority="71">
      <formula>$BA$118="hide"</formula>
    </cfRule>
  </conditionalFormatting>
  <conditionalFormatting sqref="A22:AZ22">
    <cfRule type="expression" dxfId="67" priority="70">
      <formula>$BA$119="hide"</formula>
    </cfRule>
  </conditionalFormatting>
  <conditionalFormatting sqref="A22:AZ22">
    <cfRule type="expression" dxfId="66" priority="69">
      <formula>$BA$120="hide"</formula>
    </cfRule>
  </conditionalFormatting>
  <conditionalFormatting sqref="A22:AZ22">
    <cfRule type="expression" dxfId="65" priority="68">
      <formula>$BA$121="hide"</formula>
    </cfRule>
  </conditionalFormatting>
  <conditionalFormatting sqref="A22:AZ22">
    <cfRule type="expression" dxfId="64" priority="67">
      <formula>$BA$122="hide"</formula>
    </cfRule>
  </conditionalFormatting>
  <conditionalFormatting sqref="A22:AZ22">
    <cfRule type="expression" dxfId="63" priority="66">
      <formula>$BA$123="hide"</formula>
    </cfRule>
  </conditionalFormatting>
  <conditionalFormatting sqref="A31:AZ31">
    <cfRule type="expression" dxfId="62" priority="65">
      <formula>$BA$118="hide"</formula>
    </cfRule>
  </conditionalFormatting>
  <conditionalFormatting sqref="A31:AZ31">
    <cfRule type="expression" dxfId="61" priority="64">
      <formula>$BA$119="hide"</formula>
    </cfRule>
  </conditionalFormatting>
  <conditionalFormatting sqref="A31:AZ31">
    <cfRule type="expression" dxfId="60" priority="63">
      <formula>$BA$120="hide"</formula>
    </cfRule>
  </conditionalFormatting>
  <conditionalFormatting sqref="A31:AZ31">
    <cfRule type="expression" dxfId="59" priority="62">
      <formula>$BA$121="hide"</formula>
    </cfRule>
  </conditionalFormatting>
  <conditionalFormatting sqref="A31:AZ31">
    <cfRule type="expression" dxfId="58" priority="61">
      <formula>$BA$122="hide"</formula>
    </cfRule>
  </conditionalFormatting>
  <conditionalFormatting sqref="A31:AZ31">
    <cfRule type="expression" dxfId="57" priority="60">
      <formula>$BA$123="hide"</formula>
    </cfRule>
  </conditionalFormatting>
  <conditionalFormatting sqref="C23:AZ30">
    <cfRule type="expression" dxfId="56" priority="59">
      <formula>$BA$118="hide"</formula>
    </cfRule>
  </conditionalFormatting>
  <conditionalFormatting sqref="C23:AZ30">
    <cfRule type="expression" dxfId="55" priority="58">
      <formula>$BA$119="hide"</formula>
    </cfRule>
  </conditionalFormatting>
  <conditionalFormatting sqref="C23:AZ30">
    <cfRule type="expression" dxfId="54" priority="57">
      <formula>$BA$120="hide"</formula>
    </cfRule>
  </conditionalFormatting>
  <conditionalFormatting sqref="C23:AZ30">
    <cfRule type="expression" dxfId="53" priority="56">
      <formula>$BA$121="hide"</formula>
    </cfRule>
  </conditionalFormatting>
  <conditionalFormatting sqref="C23:AZ30">
    <cfRule type="expression" dxfId="52" priority="55">
      <formula>$BA$122="hide"</formula>
    </cfRule>
  </conditionalFormatting>
  <conditionalFormatting sqref="C23:AZ30">
    <cfRule type="expression" dxfId="51" priority="54">
      <formula>$BA$123="hide"</formula>
    </cfRule>
  </conditionalFormatting>
  <conditionalFormatting sqref="C32:AZ46">
    <cfRule type="expression" dxfId="50" priority="53">
      <formula>$BA$118="hide"</formula>
    </cfRule>
  </conditionalFormatting>
  <conditionalFormatting sqref="C32:AZ46">
    <cfRule type="expression" dxfId="49" priority="52">
      <formula>$BA$119="hide"</formula>
    </cfRule>
  </conditionalFormatting>
  <conditionalFormatting sqref="C32:AZ46">
    <cfRule type="expression" dxfId="48" priority="51">
      <formula>$BA$120="hide"</formula>
    </cfRule>
  </conditionalFormatting>
  <conditionalFormatting sqref="C32:AZ46">
    <cfRule type="expression" dxfId="47" priority="50">
      <formula>$BA$121="hide"</formula>
    </cfRule>
  </conditionalFormatting>
  <conditionalFormatting sqref="C32:AZ46">
    <cfRule type="expression" dxfId="46" priority="49">
      <formula>$BA$122="hide"</formula>
    </cfRule>
  </conditionalFormatting>
  <conditionalFormatting sqref="C32:AZ46">
    <cfRule type="expression" dxfId="45" priority="48">
      <formula>$BA$123="hide"</formula>
    </cfRule>
  </conditionalFormatting>
  <conditionalFormatting sqref="AG5:XFD21 A50 A5:B21 A22:XFD46">
    <cfRule type="expression" dxfId="44" priority="41">
      <formula>$BA$2="hide"</formula>
    </cfRule>
  </conditionalFormatting>
  <conditionalFormatting sqref="AG6:XFD21 A50 A6:B21 A22:XFD46">
    <cfRule type="expression" dxfId="43" priority="40">
      <formula>$BA$3="hide"</formula>
    </cfRule>
  </conditionalFormatting>
  <conditionalFormatting sqref="A7:B21">
    <cfRule type="expression" dxfId="42" priority="39">
      <formula>$BA$4="hide"</formula>
    </cfRule>
  </conditionalFormatting>
  <conditionalFormatting sqref="A8:B21">
    <cfRule type="expression" dxfId="41" priority="38">
      <formula>$BA$5="hide"</formula>
    </cfRule>
  </conditionalFormatting>
  <conditionalFormatting sqref="A9:B21">
    <cfRule type="expression" dxfId="40" priority="37">
      <formula>$BA$6="hide"</formula>
    </cfRule>
  </conditionalFormatting>
  <conditionalFormatting sqref="A10:B21">
    <cfRule type="expression" dxfId="39" priority="36">
      <formula>$BA$7="hide"</formula>
    </cfRule>
  </conditionalFormatting>
  <conditionalFormatting sqref="A11:B21">
    <cfRule type="expression" dxfId="38" priority="35">
      <formula>$BA$8="hide"</formula>
    </cfRule>
  </conditionalFormatting>
  <conditionalFormatting sqref="A13:B21">
    <cfRule type="expression" dxfId="37" priority="34">
      <formula>$BA$9="hide"</formula>
    </cfRule>
  </conditionalFormatting>
  <conditionalFormatting sqref="A50 A22:XFD46">
    <cfRule type="expression" dxfId="36" priority="33">
      <formula>$BA$10="hide"</formula>
    </cfRule>
  </conditionalFormatting>
  <conditionalFormatting sqref="C4">
    <cfRule type="expression" dxfId="35" priority="32">
      <formula>$BA$27="hide"</formula>
    </cfRule>
  </conditionalFormatting>
  <conditionalFormatting sqref="C4">
    <cfRule type="expression" dxfId="34" priority="31">
      <formula>$BA$28="hide"</formula>
    </cfRule>
  </conditionalFormatting>
  <conditionalFormatting sqref="C4">
    <cfRule type="expression" dxfId="33" priority="30">
      <formula>$BA$29="hide"</formula>
    </cfRule>
  </conditionalFormatting>
  <conditionalFormatting sqref="C4">
    <cfRule type="expression" dxfId="32" priority="29">
      <formula>$BA$30="hide"</formula>
    </cfRule>
  </conditionalFormatting>
  <conditionalFormatting sqref="C4">
    <cfRule type="expression" dxfId="31" priority="28">
      <formula>$BA$31="hide"</formula>
    </cfRule>
  </conditionalFormatting>
  <conditionalFormatting sqref="C4">
    <cfRule type="expression" dxfId="30" priority="27">
      <formula>$BA$32="hide"</formula>
    </cfRule>
  </conditionalFormatting>
  <conditionalFormatting sqref="C5:AF21">
    <cfRule type="expression" dxfId="29" priority="26">
      <formula>$BA$2="hide"</formula>
    </cfRule>
  </conditionalFormatting>
  <conditionalFormatting sqref="C6:AF21">
    <cfRule type="expression" dxfId="28" priority="25">
      <formula>$BA$3="hide"</formula>
    </cfRule>
  </conditionalFormatting>
  <conditionalFormatting sqref="C7:AF21">
    <cfRule type="expression" dxfId="27" priority="78">
      <formula>$BA$4="hide"</formula>
    </cfRule>
  </conditionalFormatting>
  <conditionalFormatting sqref="C8:AF21">
    <cfRule type="expression" dxfId="26" priority="79">
      <formula>$BA$5="hide"</formula>
    </cfRule>
  </conditionalFormatting>
  <conditionalFormatting sqref="C9:AF21">
    <cfRule type="expression" dxfId="25" priority="80">
      <formula>$BA$6="hide"</formula>
    </cfRule>
  </conditionalFormatting>
  <conditionalFormatting sqref="C10:AF21">
    <cfRule type="expression" dxfId="24" priority="81">
      <formula>$BA$7="hide"</formula>
    </cfRule>
  </conditionalFormatting>
  <conditionalFormatting sqref="C11:AF21">
    <cfRule type="expression" dxfId="23" priority="82">
      <formula>$BA$8="hide"</formula>
    </cfRule>
  </conditionalFormatting>
  <conditionalFormatting sqref="A49:XFD49">
    <cfRule type="expression" dxfId="22" priority="9">
      <formula>$BA$4="hide"</formula>
    </cfRule>
  </conditionalFormatting>
  <conditionalFormatting sqref="A49:AZ49">
    <cfRule type="expression" dxfId="21" priority="18">
      <formula>$BA$118="hide"</formula>
    </cfRule>
  </conditionalFormatting>
  <conditionalFormatting sqref="A49:AZ49">
    <cfRule type="expression" dxfId="20" priority="17">
      <formula>$BA$119="hide"</formula>
    </cfRule>
  </conditionalFormatting>
  <conditionalFormatting sqref="A49:AZ49">
    <cfRule type="expression" dxfId="19" priority="16">
      <formula>$BA$120="hide"</formula>
    </cfRule>
  </conditionalFormatting>
  <conditionalFormatting sqref="A49:AZ49">
    <cfRule type="expression" dxfId="18" priority="15">
      <formula>$BA$121="hide"</formula>
    </cfRule>
  </conditionalFormatting>
  <conditionalFormatting sqref="A49:AZ49">
    <cfRule type="expression" dxfId="17" priority="14">
      <formula>$BA$122="hide"</formula>
    </cfRule>
  </conditionalFormatting>
  <conditionalFormatting sqref="A49:AZ49">
    <cfRule type="expression" dxfId="16" priority="13">
      <formula>$BA$123="hide"</formula>
    </cfRule>
  </conditionalFormatting>
  <conditionalFormatting sqref="A49:XFD49">
    <cfRule type="expression" dxfId="15" priority="12">
      <formula>$BA$2="hide"</formula>
    </cfRule>
  </conditionalFormatting>
  <conditionalFormatting sqref="A49:XFD49">
    <cfRule type="expression" dxfId="14" priority="11">
      <formula>$BA$3="hide"</formula>
    </cfRule>
  </conditionalFormatting>
  <conditionalFormatting sqref="A49:XFD49">
    <cfRule type="expression" dxfId="13" priority="10">
      <formula>$BA$10="hide"</formula>
    </cfRule>
  </conditionalFormatting>
  <conditionalFormatting sqref="A12">
    <cfRule type="expression" dxfId="12" priority="8">
      <formula>$BA$9="hide"</formula>
    </cfRule>
  </conditionalFormatting>
  <conditionalFormatting sqref="A33:A44">
    <cfRule type="expression" dxfId="11" priority="7">
      <formula>$BA$4="hide"</formula>
    </cfRule>
  </conditionalFormatting>
  <conditionalFormatting sqref="A33:A44">
    <cfRule type="expression" dxfId="10" priority="6">
      <formula>$BA$5="hide"</formula>
    </cfRule>
  </conditionalFormatting>
  <conditionalFormatting sqref="A34:A44">
    <cfRule type="expression" dxfId="9" priority="5">
      <formula>$BA$6="hide"</formula>
    </cfRule>
  </conditionalFormatting>
  <conditionalFormatting sqref="A35:A44">
    <cfRule type="expression" dxfId="8" priority="4">
      <formula>$BA$7="hide"</formula>
    </cfRule>
  </conditionalFormatting>
  <conditionalFormatting sqref="A36:A44">
    <cfRule type="expression" dxfId="7" priority="3">
      <formula>$BA$8="hide"</formula>
    </cfRule>
  </conditionalFormatting>
  <conditionalFormatting sqref="A38:A44">
    <cfRule type="expression" dxfId="6" priority="2">
      <formula>$BA$9="hide"</formula>
    </cfRule>
  </conditionalFormatting>
  <conditionalFormatting sqref="A37">
    <cfRule type="expression" dxfId="5" priority="1">
      <formula>$BA$9="hide"</formula>
    </cfRule>
  </conditionalFormatting>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4B47F-021D-471C-A46E-8525AFE61870}">
  <sheetPr filterMode="1"/>
  <dimension ref="C1:BW41"/>
  <sheetViews>
    <sheetView showGridLines="0" zoomScale="80" zoomScaleNormal="80" workbookViewId="0">
      <pane xSplit="6" ySplit="3" topLeftCell="AE17" activePane="bottomRight" state="frozen"/>
      <selection pane="topRight" activeCell="G1" sqref="G1"/>
      <selection pane="bottomLeft" activeCell="A4" sqref="A4"/>
      <selection pane="bottomRight" activeCell="AP29" sqref="AP29"/>
    </sheetView>
  </sheetViews>
  <sheetFormatPr defaultColWidth="8.6328125" defaultRowHeight="14" x14ac:dyDescent="0.3"/>
  <cols>
    <col min="1" max="1" width="1.90625" style="1" customWidth="1"/>
    <col min="2" max="2" width="2" style="1" customWidth="1"/>
    <col min="3" max="3" width="1.6328125" style="1" customWidth="1"/>
    <col min="4" max="4" width="8.6328125" style="1" bestFit="1" customWidth="1"/>
    <col min="5" max="5" width="33.6328125" style="1" customWidth="1"/>
    <col min="6" max="6" width="13.36328125" style="1" customWidth="1"/>
    <col min="7" max="7" width="28.08984375" style="1" customWidth="1"/>
    <col min="8" max="8" width="12.6328125" style="1" customWidth="1"/>
    <col min="9" max="9" width="13.6328125" style="1" customWidth="1"/>
    <col min="10" max="10" width="16" style="1" customWidth="1"/>
    <col min="11" max="11" width="13.08984375" style="1" bestFit="1" customWidth="1"/>
    <col min="12" max="12" width="10.6328125" style="1" customWidth="1"/>
    <col min="13" max="13" width="14.36328125" style="1" customWidth="1"/>
    <col min="14" max="14" width="26" style="1" hidden="1" customWidth="1"/>
    <col min="15" max="17" width="35.6328125" style="1" hidden="1" customWidth="1"/>
    <col min="18" max="18" width="15.1796875" style="1" customWidth="1"/>
    <col min="19" max="19" width="12.54296875" style="1" customWidth="1"/>
    <col min="20" max="20" width="18" style="1" customWidth="1"/>
    <col min="21" max="21" width="12.54296875" style="1" customWidth="1"/>
    <col min="22" max="23" width="14.6328125" style="1" customWidth="1"/>
    <col min="24" max="24" width="12.36328125" style="1" customWidth="1"/>
    <col min="25" max="25" width="9.08984375" style="1" customWidth="1"/>
    <col min="26" max="26" width="10.90625" style="1" customWidth="1"/>
    <col min="27" max="27" width="14.36328125" style="1" customWidth="1"/>
    <col min="28" max="29" width="15.08984375" style="1" customWidth="1"/>
    <col min="30" max="30" width="11.36328125" style="1" customWidth="1"/>
    <col min="31" max="31" width="12.90625" style="1" customWidth="1"/>
    <col min="32" max="34" width="10.90625" style="1" bestFit="1" customWidth="1"/>
    <col min="35" max="35" width="13.6328125" style="1" bestFit="1" customWidth="1"/>
    <col min="36" max="36" width="10" style="1" customWidth="1"/>
    <col min="37" max="37" width="12.36328125" style="1" bestFit="1" customWidth="1"/>
    <col min="38" max="41" width="8.6328125" style="1" customWidth="1"/>
    <col min="42" max="42" width="16.36328125" style="1" customWidth="1"/>
    <col min="43" max="43" width="8.6328125" style="1"/>
    <col min="44" max="44" width="8.6328125" style="1" hidden="1" customWidth="1"/>
    <col min="45" max="45" width="10.54296875" style="1" hidden="1" customWidth="1"/>
    <col min="46" max="46" width="9.90625" style="1" hidden="1" customWidth="1"/>
    <col min="47" max="66" width="8.6328125" style="1" hidden="1" customWidth="1"/>
    <col min="67" max="67" width="8.81640625" style="1" hidden="1" customWidth="1"/>
    <col min="68" max="68" width="8.6328125" style="1" hidden="1" customWidth="1"/>
    <col min="69" max="69" width="8.453125" style="1" customWidth="1"/>
    <col min="70" max="70" width="9.36328125" style="1" customWidth="1"/>
    <col min="71" max="16384" width="8.6328125" style="1"/>
  </cols>
  <sheetData>
    <row r="1" spans="3:75" ht="5" customHeight="1" x14ac:dyDescent="0.3">
      <c r="BB1" s="117">
        <f>+('Macro Var'!F11-'Macro Var'!F12)-('Macro Var'!E11-'Macro Var'!E12)</f>
        <v>79.009528629040915</v>
      </c>
      <c r="BC1" s="117">
        <f>+('Macro Var'!G11-'Macro Var'!G12)-('Macro Var'!F11-'Macro Var'!F12)</f>
        <v>35.223596582105529</v>
      </c>
      <c r="BD1" s="117">
        <f>+('Macro Var'!H11-'Macro Var'!H12)-('Macro Var'!G11-'Macro Var'!G12)</f>
        <v>52.449244482589165</v>
      </c>
      <c r="BE1" s="117">
        <f>+('Macro Var'!I11-'Macro Var'!I12)-('Macro Var'!H11-'Macro Var'!H12)</f>
        <v>51.063561820857103</v>
      </c>
      <c r="BF1" s="117">
        <f>+('Macro Var'!J11-'Macro Var'!J12)-('Macro Var'!I11-'Macro Var'!I12)</f>
        <v>52.964159798198352</v>
      </c>
      <c r="BG1" s="117">
        <f>+('Macro Var'!K11-'Macro Var'!K12)-('Macro Var'!J11-'Macro Var'!J12)</f>
        <v>48.686692447712403</v>
      </c>
      <c r="BH1" s="117">
        <f>+('Macro Var'!L11-'Macro Var'!L12)-('Macro Var'!K11-'Macro Var'!K12)</f>
        <v>37.473835141309564</v>
      </c>
    </row>
    <row r="2" spans="3:75" x14ac:dyDescent="0.3">
      <c r="D2" s="102"/>
      <c r="E2" s="103"/>
      <c r="F2" s="102"/>
      <c r="G2" s="102"/>
      <c r="H2" s="103"/>
      <c r="I2" s="102"/>
      <c r="J2" s="102"/>
      <c r="K2" s="102"/>
      <c r="L2" s="102"/>
      <c r="M2" s="102"/>
      <c r="N2" s="104" t="s">
        <v>165</v>
      </c>
      <c r="O2" s="105"/>
      <c r="P2" s="105"/>
      <c r="Q2" s="106"/>
      <c r="R2" s="106" t="s">
        <v>160</v>
      </c>
      <c r="S2" s="107"/>
      <c r="T2" s="106"/>
      <c r="U2" s="107"/>
      <c r="V2" s="108" t="s">
        <v>156</v>
      </c>
      <c r="W2" s="105"/>
      <c r="X2" s="105"/>
      <c r="Y2" s="105"/>
      <c r="Z2" s="108" t="s">
        <v>158</v>
      </c>
      <c r="AA2" s="105"/>
      <c r="AB2" s="105"/>
      <c r="AC2" s="105"/>
      <c r="AD2" s="105"/>
      <c r="AE2" s="109" t="s">
        <v>163</v>
      </c>
      <c r="AF2" s="104" t="s">
        <v>162</v>
      </c>
      <c r="AG2" s="105"/>
      <c r="AH2" s="105"/>
      <c r="AI2" s="105"/>
      <c r="AJ2" s="105"/>
      <c r="AK2" s="110"/>
      <c r="AL2" s="102" t="s">
        <v>164</v>
      </c>
      <c r="AM2" s="102"/>
      <c r="AN2" s="102"/>
      <c r="AO2" s="102"/>
      <c r="AR2" s="127" t="s">
        <v>250</v>
      </c>
      <c r="AS2" s="128"/>
      <c r="AT2" s="129"/>
      <c r="AU2" s="129"/>
      <c r="AV2" s="129"/>
      <c r="AW2" s="129"/>
      <c r="AX2" s="129"/>
      <c r="BA2" s="127"/>
      <c r="BB2" s="128"/>
      <c r="BC2" s="129"/>
      <c r="BD2" s="129"/>
      <c r="BE2" s="129"/>
      <c r="BF2" s="129"/>
      <c r="BG2" s="129"/>
    </row>
    <row r="3" spans="3:75" s="22" customFormat="1" ht="45" x14ac:dyDescent="0.3">
      <c r="C3" s="1"/>
      <c r="D3" s="111" t="s">
        <v>0</v>
      </c>
      <c r="E3" s="112" t="s">
        <v>167</v>
      </c>
      <c r="F3" s="111" t="s">
        <v>166</v>
      </c>
      <c r="G3" s="111" t="s">
        <v>1</v>
      </c>
      <c r="H3" s="112" t="s">
        <v>3</v>
      </c>
      <c r="I3" s="111" t="s">
        <v>4</v>
      </c>
      <c r="J3" s="111" t="s">
        <v>5</v>
      </c>
      <c r="K3" s="111" t="s">
        <v>6</v>
      </c>
      <c r="L3" s="111" t="s">
        <v>7</v>
      </c>
      <c r="M3" s="111" t="s">
        <v>8</v>
      </c>
      <c r="N3" s="112" t="s">
        <v>2</v>
      </c>
      <c r="O3" s="111" t="s">
        <v>9</v>
      </c>
      <c r="P3" s="111" t="s">
        <v>10</v>
      </c>
      <c r="Q3" s="113" t="s">
        <v>11</v>
      </c>
      <c r="R3" s="132" t="s">
        <v>251</v>
      </c>
      <c r="S3" s="111" t="s">
        <v>252</v>
      </c>
      <c r="T3" s="133" t="s">
        <v>253</v>
      </c>
      <c r="U3" s="115" t="s">
        <v>194</v>
      </c>
      <c r="V3" s="112" t="s">
        <v>237</v>
      </c>
      <c r="W3" s="111" t="s">
        <v>243</v>
      </c>
      <c r="X3" s="111" t="s">
        <v>161</v>
      </c>
      <c r="Y3" s="111" t="s">
        <v>12</v>
      </c>
      <c r="Z3" s="112" t="s">
        <v>159</v>
      </c>
      <c r="AA3" s="111" t="s">
        <v>237</v>
      </c>
      <c r="AB3" s="111" t="s">
        <v>243</v>
      </c>
      <c r="AC3" s="111" t="s">
        <v>161</v>
      </c>
      <c r="AD3" s="111" t="s">
        <v>12</v>
      </c>
      <c r="AE3" s="114">
        <v>2016</v>
      </c>
      <c r="AF3" s="112">
        <v>2017</v>
      </c>
      <c r="AG3" s="111">
        <v>2018</v>
      </c>
      <c r="AH3" s="111">
        <v>2019</v>
      </c>
      <c r="AI3" s="111">
        <v>2020</v>
      </c>
      <c r="AJ3" s="111">
        <v>2021</v>
      </c>
      <c r="AK3" s="115" t="s">
        <v>157</v>
      </c>
      <c r="AL3" s="112">
        <v>2017</v>
      </c>
      <c r="AM3" s="111">
        <v>2018</v>
      </c>
      <c r="AN3" s="111">
        <v>2019</v>
      </c>
      <c r="AO3" s="111">
        <v>2020</v>
      </c>
      <c r="AP3" s="3" t="s">
        <v>240</v>
      </c>
      <c r="AR3" s="130">
        <v>2015</v>
      </c>
      <c r="AS3" s="130">
        <v>2016</v>
      </c>
      <c r="AT3" s="130">
        <v>2017</v>
      </c>
      <c r="AU3" s="130">
        <f>+AT3+1</f>
        <v>2018</v>
      </c>
      <c r="AV3" s="130">
        <f>+AU3+1</f>
        <v>2019</v>
      </c>
      <c r="AW3" s="130">
        <f>+AV3+1</f>
        <v>2020</v>
      </c>
      <c r="AX3" s="130">
        <f>+AW3+1</f>
        <v>2021</v>
      </c>
      <c r="AY3" s="130" t="s">
        <v>246</v>
      </c>
      <c r="BA3" s="130"/>
      <c r="BB3" s="130">
        <v>2016</v>
      </c>
      <c r="BC3" s="130">
        <v>2017</v>
      </c>
      <c r="BD3" s="130">
        <f>+BC3+1</f>
        <v>2018</v>
      </c>
      <c r="BE3" s="130">
        <f>+BD3+1</f>
        <v>2019</v>
      </c>
      <c r="BF3" s="130">
        <f>+BE3+1</f>
        <v>2020</v>
      </c>
      <c r="BG3" s="130">
        <f>+BF3+1</f>
        <v>2021</v>
      </c>
      <c r="BH3" s="130" t="s">
        <v>246</v>
      </c>
      <c r="BJ3" s="130">
        <v>2016</v>
      </c>
      <c r="BK3" s="130">
        <v>2017</v>
      </c>
      <c r="BL3" s="130">
        <f>+BK3+1</f>
        <v>2018</v>
      </c>
      <c r="BM3" s="130">
        <f>+BL3+1</f>
        <v>2019</v>
      </c>
      <c r="BN3" s="130">
        <f>+BM3+1</f>
        <v>2020</v>
      </c>
      <c r="BO3" s="130">
        <f>+BN3+1</f>
        <v>2021</v>
      </c>
      <c r="BP3" s="130" t="s">
        <v>246</v>
      </c>
      <c r="BQ3" s="142" t="s">
        <v>269</v>
      </c>
      <c r="BR3" s="142" t="s">
        <v>270</v>
      </c>
      <c r="BS3" s="142" t="s">
        <v>271</v>
      </c>
      <c r="BT3" s="142" t="s">
        <v>272</v>
      </c>
      <c r="BU3" s="142" t="s">
        <v>273</v>
      </c>
      <c r="BV3" s="142" t="s">
        <v>274</v>
      </c>
      <c r="BW3" s="142"/>
    </row>
    <row r="4" spans="3:75" ht="42.5" hidden="1" customHeight="1" x14ac:dyDescent="0.3">
      <c r="D4" s="4">
        <f t="shared" ref="D4:D31" si="0">ROW()-3</f>
        <v>1</v>
      </c>
      <c r="E4" s="15" t="s">
        <v>79</v>
      </c>
      <c r="F4" s="11" t="s">
        <v>13</v>
      </c>
      <c r="G4" s="16" t="s">
        <v>168</v>
      </c>
      <c r="H4" s="12" t="s">
        <v>14</v>
      </c>
      <c r="I4" s="12" t="s">
        <v>15</v>
      </c>
      <c r="J4" s="12" t="s">
        <v>17</v>
      </c>
      <c r="K4" s="116">
        <v>114.3</v>
      </c>
      <c r="L4" s="12" t="s">
        <v>241</v>
      </c>
      <c r="M4" s="12" t="s">
        <v>81</v>
      </c>
      <c r="N4" s="18" t="s">
        <v>80</v>
      </c>
      <c r="O4" s="11" t="s">
        <v>82</v>
      </c>
      <c r="P4" s="11" t="s">
        <v>83</v>
      </c>
      <c r="Q4" s="19" t="s">
        <v>84</v>
      </c>
      <c r="R4" s="135">
        <v>33</v>
      </c>
      <c r="S4" s="14">
        <f t="shared" ref="S4:S31" si="1">SUM(V4:Y4)</f>
        <v>35</v>
      </c>
      <c r="T4" s="136">
        <f t="shared" ref="T4:T31" si="2">S4/R4-1</f>
        <v>6.0606060606060552E-2</v>
      </c>
      <c r="U4" s="134">
        <f>S4/'Macro Var'!$F$4</f>
        <v>1.1467983371832883E-2</v>
      </c>
      <c r="V4" s="20">
        <v>11</v>
      </c>
      <c r="W4" s="14">
        <v>24</v>
      </c>
      <c r="X4" s="14">
        <v>0</v>
      </c>
      <c r="Y4" s="21">
        <v>0</v>
      </c>
      <c r="Z4" s="20">
        <f t="shared" ref="Z4:Z31" si="3">SUM(AA4:AD4)</f>
        <v>30</v>
      </c>
      <c r="AA4" s="14">
        <v>6</v>
      </c>
      <c r="AB4" s="14">
        <v>24</v>
      </c>
      <c r="AC4" s="14">
        <v>0</v>
      </c>
      <c r="AD4" s="21">
        <v>0</v>
      </c>
      <c r="AE4" s="14">
        <v>3.4</v>
      </c>
      <c r="AF4" s="20">
        <v>1.6</v>
      </c>
      <c r="AG4" s="14">
        <v>0</v>
      </c>
      <c r="AH4" s="14">
        <v>0</v>
      </c>
      <c r="AI4" s="14">
        <v>0</v>
      </c>
      <c r="AJ4" s="14">
        <v>0</v>
      </c>
      <c r="AK4" s="21">
        <f>ROUND(S4-Z4-AE4-SUM(AF4:AJ4),4)</f>
        <v>0</v>
      </c>
      <c r="AL4" s="14">
        <v>0</v>
      </c>
      <c r="AM4" s="14">
        <v>0</v>
      </c>
      <c r="AN4" s="14">
        <v>0</v>
      </c>
      <c r="AO4" s="14">
        <v>0</v>
      </c>
      <c r="AP4" s="138" t="s">
        <v>16</v>
      </c>
      <c r="AR4" s="118">
        <f t="shared" ref="AR4:AR31" si="4">IF(Z4=0,0,IF(AB4+AC4-W4-X4=0,W4+X4,AB4+AC4))</f>
        <v>24</v>
      </c>
      <c r="AS4" s="118">
        <f t="shared" ref="AS4:AS31" si="5">AR4+BB4</f>
        <v>24</v>
      </c>
      <c r="AT4" s="118">
        <f t="shared" ref="AT4:AT5" si="6">AS4+BC4</f>
        <v>24</v>
      </c>
      <c r="AU4" s="118">
        <f t="shared" ref="AU4:AX19" si="7">AT4+BD4</f>
        <v>24</v>
      </c>
      <c r="AV4" s="118">
        <f t="shared" si="7"/>
        <v>24</v>
      </c>
      <c r="AW4" s="118">
        <f t="shared" si="7"/>
        <v>24</v>
      </c>
      <c r="AX4" s="118">
        <f t="shared" si="7"/>
        <v>24</v>
      </c>
      <c r="AY4" s="118">
        <f t="shared" ref="AY4:AY31" si="8">AX4+BH4</f>
        <v>24</v>
      </c>
      <c r="AZ4" s="118">
        <f t="shared" ref="AZ4:AZ31" si="9">+AY4-W4-X4</f>
        <v>0</v>
      </c>
      <c r="BB4" s="119">
        <f t="shared" ref="BB4:BB31" si="10">AE4/SUMPRODUCT($BJ$4:$BJ$31,$AE$4:$AE$31)*BJ4*$BB$1</f>
        <v>0</v>
      </c>
      <c r="BC4" s="119">
        <f t="shared" ref="BC4:BC12" si="11">AF4/SUMPRODUCT($BK$4:$BK$31,$AF$4:$AF$31)*BK4*$BC$1</f>
        <v>0</v>
      </c>
      <c r="BD4" s="119">
        <f t="shared" ref="BD4:BD31" si="12">AG4/SUMPRODUCT($BL$4:$BL$31,$AG$4:$AG$31)*BL4*$BD$1</f>
        <v>0</v>
      </c>
      <c r="BE4" s="120">
        <f t="shared" ref="BE4:BE31" si="13">AH4/SUMPRODUCT($BM$4:$BM$31,$AH$4:$AH$31)*BM4*$BE$1</f>
        <v>0</v>
      </c>
      <c r="BF4" s="120">
        <f t="shared" ref="BF4:BF31" si="14">AI4/SUMPRODUCT($BN$4:$BN$31,$AI$4:$AI$31)*BN4*$BF$1</f>
        <v>0</v>
      </c>
      <c r="BG4" s="120">
        <f t="shared" ref="BG4:BG9" si="15">AJ4/SUMPRODUCT($BO$4:$BO$31,$AJ$4:$AJ$31)*BO4*$BF$1</f>
        <v>0</v>
      </c>
      <c r="BH4" s="120">
        <f>+W4+X4-AX4</f>
        <v>0</v>
      </c>
      <c r="BJ4" s="119">
        <f t="shared" ref="BJ4" si="16">IF($AP4="No",0,IF(AE4=0,0,IF($W4+$X4-AR4=0,0,1)))</f>
        <v>0</v>
      </c>
      <c r="BK4" s="119">
        <f t="shared" ref="BK4:BK31" si="17">IF($AP4="No",0,IF(AF4=0,0,IF($W4+$X4-AS4=0,0,1)))</f>
        <v>0</v>
      </c>
      <c r="BL4" s="119">
        <f t="shared" ref="BL4:BL31" si="18">IF($AP4="No",0,IF(AG4=0,0,IF($W4+$X4-AT4=0,0,1)))</f>
        <v>0</v>
      </c>
      <c r="BM4" s="119">
        <f t="shared" ref="BM4:BM31" si="19">IF($AP4="No",0,IF(AH4=0,0,IF($W4+$X4-AU4=0,0,1)))</f>
        <v>0</v>
      </c>
      <c r="BN4" s="119">
        <f t="shared" ref="BN4:BN31" si="20">IF($AP4="No",0,IF(AI4=0,0,IF($W4+$X4-AV4=0,0,1)))</f>
        <v>0</v>
      </c>
      <c r="BO4" s="119">
        <f t="shared" ref="BO4:BO31" si="21">IF($AP4="No",0,IF(AJ4=0,0,IF($W4+$X4-AW4=0,0,1)))</f>
        <v>0</v>
      </c>
    </row>
    <row r="5" spans="3:75" ht="45" hidden="1" customHeight="1" x14ac:dyDescent="0.3">
      <c r="D5" s="4">
        <f t="shared" si="0"/>
        <v>2</v>
      </c>
      <c r="E5" s="15" t="s">
        <v>90</v>
      </c>
      <c r="F5" s="11" t="s">
        <v>20</v>
      </c>
      <c r="G5" s="16" t="s">
        <v>169</v>
      </c>
      <c r="H5" s="12" t="s">
        <v>14</v>
      </c>
      <c r="I5" s="12" t="s">
        <v>15</v>
      </c>
      <c r="J5" s="12" t="s">
        <v>19</v>
      </c>
      <c r="K5" s="116">
        <v>1.9</v>
      </c>
      <c r="L5" s="12" t="s">
        <v>241</v>
      </c>
      <c r="M5" s="12" t="s">
        <v>91</v>
      </c>
      <c r="N5" s="18" t="s">
        <v>21</v>
      </c>
      <c r="O5" s="11" t="s">
        <v>92</v>
      </c>
      <c r="P5" s="11" t="s">
        <v>93</v>
      </c>
      <c r="Q5" s="19" t="s">
        <v>94</v>
      </c>
      <c r="R5" s="135">
        <v>15.6811594202899</v>
      </c>
      <c r="S5" s="14">
        <f t="shared" si="1"/>
        <v>17.5</v>
      </c>
      <c r="T5" s="136">
        <f t="shared" si="2"/>
        <v>0.11598890942698392</v>
      </c>
      <c r="U5" s="134">
        <f>S5/'Macro Var'!$F$4</f>
        <v>5.7339916859164416E-3</v>
      </c>
      <c r="V5" s="20">
        <v>13.5</v>
      </c>
      <c r="W5" s="14">
        <v>4</v>
      </c>
      <c r="X5" s="14">
        <v>0</v>
      </c>
      <c r="Y5" s="21">
        <v>0</v>
      </c>
      <c r="Z5" s="20">
        <f t="shared" si="3"/>
        <v>6.7</v>
      </c>
      <c r="AA5" s="14">
        <v>2.7</v>
      </c>
      <c r="AB5" s="14">
        <v>4</v>
      </c>
      <c r="AC5" s="14">
        <v>0</v>
      </c>
      <c r="AD5" s="21">
        <v>0</v>
      </c>
      <c r="AE5" s="14">
        <v>6</v>
      </c>
      <c r="AF5" s="20">
        <v>3</v>
      </c>
      <c r="AG5" s="14">
        <v>1.8</v>
      </c>
      <c r="AH5" s="14">
        <v>0</v>
      </c>
      <c r="AI5" s="14">
        <v>0</v>
      </c>
      <c r="AJ5" s="14">
        <v>0</v>
      </c>
      <c r="AK5" s="21">
        <f>ROUND(S5-Z5-AE5-SUM(AF5:AJ5),4)</f>
        <v>0</v>
      </c>
      <c r="AL5" s="14">
        <v>0</v>
      </c>
      <c r="AM5" s="14">
        <v>0</v>
      </c>
      <c r="AN5" s="14">
        <v>0</v>
      </c>
      <c r="AO5" s="14">
        <v>0</v>
      </c>
      <c r="AP5" s="138" t="s">
        <v>16</v>
      </c>
      <c r="AR5" s="118">
        <f t="shared" si="4"/>
        <v>4</v>
      </c>
      <c r="AS5" s="118">
        <f t="shared" si="5"/>
        <v>4</v>
      </c>
      <c r="AT5" s="118">
        <f t="shared" si="6"/>
        <v>4</v>
      </c>
      <c r="AU5" s="118">
        <f t="shared" si="7"/>
        <v>4</v>
      </c>
      <c r="AV5" s="118">
        <f t="shared" si="7"/>
        <v>4</v>
      </c>
      <c r="AW5" s="118">
        <f t="shared" si="7"/>
        <v>4</v>
      </c>
      <c r="AX5" s="118">
        <f t="shared" si="7"/>
        <v>4</v>
      </c>
      <c r="AY5" s="118">
        <f t="shared" si="8"/>
        <v>4</v>
      </c>
      <c r="AZ5" s="118">
        <f t="shared" si="9"/>
        <v>0</v>
      </c>
      <c r="BB5" s="119">
        <f t="shared" si="10"/>
        <v>0</v>
      </c>
      <c r="BC5" s="119">
        <f t="shared" si="11"/>
        <v>0</v>
      </c>
      <c r="BD5" s="119">
        <f t="shared" si="12"/>
        <v>0</v>
      </c>
      <c r="BE5" s="120">
        <f t="shared" si="13"/>
        <v>0</v>
      </c>
      <c r="BF5" s="120">
        <f t="shared" si="14"/>
        <v>0</v>
      </c>
      <c r="BG5" s="120">
        <f t="shared" si="15"/>
        <v>0</v>
      </c>
      <c r="BH5" s="120">
        <f t="shared" ref="BH5:BH31" si="22">+W5+X5-AX5</f>
        <v>0</v>
      </c>
      <c r="BJ5" s="119">
        <f t="shared" ref="BJ5:BJ18" si="23">IF($AP5="No",0,IF(AE5=0,0,IF($W5+$X5-AR5=0,0,1)))</f>
        <v>0</v>
      </c>
      <c r="BK5" s="119">
        <f t="shared" si="17"/>
        <v>0</v>
      </c>
      <c r="BL5" s="119">
        <f t="shared" si="18"/>
        <v>0</v>
      </c>
      <c r="BM5" s="119">
        <f t="shared" si="19"/>
        <v>0</v>
      </c>
      <c r="BN5" s="119">
        <f t="shared" si="20"/>
        <v>0</v>
      </c>
      <c r="BO5" s="119">
        <f t="shared" si="21"/>
        <v>0</v>
      </c>
    </row>
    <row r="6" spans="3:75" ht="45" customHeight="1" x14ac:dyDescent="0.3">
      <c r="D6" s="4">
        <f t="shared" si="0"/>
        <v>3</v>
      </c>
      <c r="E6" s="15" t="s">
        <v>23</v>
      </c>
      <c r="F6" s="11" t="s">
        <v>20</v>
      </c>
      <c r="G6" s="16" t="s">
        <v>169</v>
      </c>
      <c r="H6" s="12" t="s">
        <v>14</v>
      </c>
      <c r="I6" s="12" t="s">
        <v>16</v>
      </c>
      <c r="J6" s="12" t="s">
        <v>19</v>
      </c>
      <c r="K6" s="116">
        <v>0.5</v>
      </c>
      <c r="L6" s="12" t="s">
        <v>18</v>
      </c>
      <c r="M6" s="13">
        <v>0</v>
      </c>
      <c r="N6" s="18" t="s">
        <v>22</v>
      </c>
      <c r="O6" s="11" t="s">
        <v>24</v>
      </c>
      <c r="P6" s="11" t="s">
        <v>25</v>
      </c>
      <c r="Q6" s="19" t="s">
        <v>25</v>
      </c>
      <c r="R6" s="135">
        <v>32.119999999999997</v>
      </c>
      <c r="S6" s="14">
        <f t="shared" si="1"/>
        <v>32.119999999999997</v>
      </c>
      <c r="T6" s="136">
        <f t="shared" si="2"/>
        <v>0</v>
      </c>
      <c r="U6" s="134">
        <f>S6/'Macro Var'!$F$4</f>
        <v>1.052433216866492E-2</v>
      </c>
      <c r="V6" s="20">
        <v>1.24</v>
      </c>
      <c r="W6" s="14">
        <v>10</v>
      </c>
      <c r="X6" s="14">
        <v>0</v>
      </c>
      <c r="Y6" s="21">
        <v>20.88</v>
      </c>
      <c r="Z6" s="20">
        <f t="shared" si="3"/>
        <v>0</v>
      </c>
      <c r="AA6" s="14">
        <v>0</v>
      </c>
      <c r="AB6" s="14">
        <v>0</v>
      </c>
      <c r="AC6" s="14">
        <v>0</v>
      </c>
      <c r="AD6" s="21">
        <v>0</v>
      </c>
      <c r="AE6" s="14">
        <v>0</v>
      </c>
      <c r="AF6" s="20">
        <v>12.1</v>
      </c>
      <c r="AG6" s="14">
        <v>10.88</v>
      </c>
      <c r="AH6" s="14">
        <v>9.14</v>
      </c>
      <c r="AI6" s="14">
        <v>0</v>
      </c>
      <c r="AJ6" s="14">
        <v>0</v>
      </c>
      <c r="AK6" s="21">
        <f>S6-Z6-AE6-SUM(AF6:AJ6)</f>
        <v>0</v>
      </c>
      <c r="AL6" s="14">
        <v>0.32119999999999999</v>
      </c>
      <c r="AM6" s="14">
        <v>0.35154343879391287</v>
      </c>
      <c r="AN6" s="14">
        <v>0.3826657008478131</v>
      </c>
      <c r="AO6" s="14">
        <v>0.41299684393291858</v>
      </c>
      <c r="AP6" s="138" t="s">
        <v>15</v>
      </c>
      <c r="AR6" s="118">
        <f t="shared" si="4"/>
        <v>0</v>
      </c>
      <c r="AS6" s="118">
        <f t="shared" si="5"/>
        <v>0</v>
      </c>
      <c r="AT6" s="118">
        <f t="shared" ref="AT6:AT31" si="24">AS6+BC6</f>
        <v>0</v>
      </c>
      <c r="AU6" s="118">
        <f t="shared" si="7"/>
        <v>0</v>
      </c>
      <c r="AV6" s="118">
        <f t="shared" si="7"/>
        <v>0</v>
      </c>
      <c r="AW6" s="118">
        <f t="shared" si="7"/>
        <v>0</v>
      </c>
      <c r="AX6" s="118">
        <f t="shared" si="7"/>
        <v>0</v>
      </c>
      <c r="AY6" s="118">
        <f t="shared" si="8"/>
        <v>10</v>
      </c>
      <c r="AZ6" s="118">
        <f t="shared" si="9"/>
        <v>0</v>
      </c>
      <c r="BB6" s="119">
        <f t="shared" si="10"/>
        <v>0</v>
      </c>
      <c r="BC6" s="119">
        <f t="shared" si="11"/>
        <v>0</v>
      </c>
      <c r="BD6" s="119">
        <f t="shared" si="12"/>
        <v>0</v>
      </c>
      <c r="BE6" s="120">
        <f t="shared" si="13"/>
        <v>0</v>
      </c>
      <c r="BF6" s="120">
        <f t="shared" si="14"/>
        <v>0</v>
      </c>
      <c r="BG6" s="120">
        <f t="shared" si="15"/>
        <v>0</v>
      </c>
      <c r="BH6" s="120">
        <f t="shared" si="22"/>
        <v>10</v>
      </c>
      <c r="BJ6" s="119">
        <f t="shared" si="23"/>
        <v>0</v>
      </c>
      <c r="BK6" s="119">
        <f t="shared" si="17"/>
        <v>0</v>
      </c>
      <c r="BL6" s="119">
        <f t="shared" si="18"/>
        <v>0</v>
      </c>
      <c r="BM6" s="119">
        <f t="shared" si="19"/>
        <v>0</v>
      </c>
      <c r="BN6" s="119">
        <f t="shared" si="20"/>
        <v>0</v>
      </c>
      <c r="BO6" s="119">
        <f t="shared" si="21"/>
        <v>0</v>
      </c>
    </row>
    <row r="7" spans="3:75" ht="45" customHeight="1" x14ac:dyDescent="0.3">
      <c r="D7" s="4">
        <f t="shared" si="0"/>
        <v>4</v>
      </c>
      <c r="E7" s="15" t="s">
        <v>26</v>
      </c>
      <c r="F7" s="11" t="s">
        <v>20</v>
      </c>
      <c r="G7" s="16" t="s">
        <v>169</v>
      </c>
      <c r="H7" s="12" t="s">
        <v>14</v>
      </c>
      <c r="I7" s="12" t="s">
        <v>15</v>
      </c>
      <c r="J7" s="12" t="s">
        <v>245</v>
      </c>
      <c r="K7" s="116">
        <v>0</v>
      </c>
      <c r="L7" s="12" t="s">
        <v>18</v>
      </c>
      <c r="M7" s="13">
        <v>0</v>
      </c>
      <c r="N7" s="18" t="s">
        <v>21</v>
      </c>
      <c r="O7" s="11" t="s">
        <v>27</v>
      </c>
      <c r="P7" s="11" t="s">
        <v>28</v>
      </c>
      <c r="Q7" s="19" t="s">
        <v>29</v>
      </c>
      <c r="R7" s="135">
        <v>25.53</v>
      </c>
      <c r="S7" s="14">
        <f t="shared" si="1"/>
        <v>25.53</v>
      </c>
      <c r="T7" s="136">
        <f t="shared" si="2"/>
        <v>0</v>
      </c>
      <c r="U7" s="134">
        <f>S7/'Macro Var'!$F$4</f>
        <v>8.3650747280826724E-3</v>
      </c>
      <c r="V7" s="20">
        <v>13.53</v>
      </c>
      <c r="W7" s="14">
        <v>12</v>
      </c>
      <c r="X7" s="14">
        <v>0</v>
      </c>
      <c r="Y7" s="21">
        <v>0</v>
      </c>
      <c r="Z7" s="20">
        <f t="shared" si="3"/>
        <v>0</v>
      </c>
      <c r="AA7" s="14">
        <v>0</v>
      </c>
      <c r="AB7" s="14">
        <v>0</v>
      </c>
      <c r="AC7" s="14">
        <v>0</v>
      </c>
      <c r="AD7" s="21">
        <v>0</v>
      </c>
      <c r="AE7" s="14">
        <v>0</v>
      </c>
      <c r="AF7" s="20">
        <v>14.53</v>
      </c>
      <c r="AG7" s="14">
        <v>11</v>
      </c>
      <c r="AH7" s="14">
        <v>0</v>
      </c>
      <c r="AI7" s="14">
        <v>0</v>
      </c>
      <c r="AJ7" s="14">
        <v>0</v>
      </c>
      <c r="AK7" s="21">
        <f>S7-Z7-AE7-SUM(AF7:AJ7)</f>
        <v>0</v>
      </c>
      <c r="AL7" s="14">
        <v>0</v>
      </c>
      <c r="AM7" s="14">
        <v>0</v>
      </c>
      <c r="AN7" s="14">
        <v>0</v>
      </c>
      <c r="AO7" s="14">
        <v>0</v>
      </c>
      <c r="AP7" s="138" t="s">
        <v>15</v>
      </c>
      <c r="AR7" s="118">
        <f t="shared" si="4"/>
        <v>0</v>
      </c>
      <c r="AS7" s="118">
        <f t="shared" si="5"/>
        <v>0</v>
      </c>
      <c r="AT7" s="118">
        <f t="shared" si="24"/>
        <v>0</v>
      </c>
      <c r="AU7" s="118">
        <f t="shared" si="7"/>
        <v>0</v>
      </c>
      <c r="AV7" s="118">
        <f t="shared" si="7"/>
        <v>0</v>
      </c>
      <c r="AW7" s="118">
        <f t="shared" si="7"/>
        <v>0</v>
      </c>
      <c r="AX7" s="118">
        <f t="shared" si="7"/>
        <v>0</v>
      </c>
      <c r="AY7" s="118">
        <f t="shared" si="8"/>
        <v>12</v>
      </c>
      <c r="AZ7" s="118">
        <f t="shared" si="9"/>
        <v>0</v>
      </c>
      <c r="BB7" s="119">
        <f t="shared" si="10"/>
        <v>0</v>
      </c>
      <c r="BC7" s="119">
        <f t="shared" si="11"/>
        <v>0</v>
      </c>
      <c r="BD7" s="119">
        <f t="shared" si="12"/>
        <v>0</v>
      </c>
      <c r="BE7" s="120">
        <f t="shared" si="13"/>
        <v>0</v>
      </c>
      <c r="BF7" s="120">
        <f t="shared" si="14"/>
        <v>0</v>
      </c>
      <c r="BG7" s="120">
        <f t="shared" si="15"/>
        <v>0</v>
      </c>
      <c r="BH7" s="120">
        <f t="shared" si="22"/>
        <v>12</v>
      </c>
      <c r="BJ7" s="119">
        <f t="shared" si="23"/>
        <v>0</v>
      </c>
      <c r="BK7" s="119">
        <f t="shared" si="17"/>
        <v>0</v>
      </c>
      <c r="BL7" s="119">
        <f t="shared" si="18"/>
        <v>0</v>
      </c>
      <c r="BM7" s="119">
        <f t="shared" si="19"/>
        <v>0</v>
      </c>
      <c r="BN7" s="119">
        <f t="shared" si="20"/>
        <v>0</v>
      </c>
      <c r="BO7" s="119">
        <f t="shared" si="21"/>
        <v>0</v>
      </c>
    </row>
    <row r="8" spans="3:75" ht="45" hidden="1" customHeight="1" x14ac:dyDescent="0.3">
      <c r="D8" s="4">
        <f t="shared" si="0"/>
        <v>5</v>
      </c>
      <c r="E8" s="15" t="s">
        <v>85</v>
      </c>
      <c r="F8" s="11" t="s">
        <v>20</v>
      </c>
      <c r="G8" s="16" t="s">
        <v>169</v>
      </c>
      <c r="H8" s="12" t="s">
        <v>14</v>
      </c>
      <c r="I8" s="12" t="s">
        <v>15</v>
      </c>
      <c r="J8" s="12" t="s">
        <v>19</v>
      </c>
      <c r="K8" s="116">
        <v>2.1</v>
      </c>
      <c r="L8" s="12" t="s">
        <v>241</v>
      </c>
      <c r="M8" s="12" t="s">
        <v>86</v>
      </c>
      <c r="N8" s="18" t="s">
        <v>22</v>
      </c>
      <c r="O8" s="11" t="s">
        <v>87</v>
      </c>
      <c r="P8" s="11" t="s">
        <v>88</v>
      </c>
      <c r="Q8" s="19" t="s">
        <v>89</v>
      </c>
      <c r="R8" s="135">
        <v>19.461538461538499</v>
      </c>
      <c r="S8" s="14">
        <f t="shared" si="1"/>
        <v>24</v>
      </c>
      <c r="T8" s="136">
        <f t="shared" si="2"/>
        <v>0.23320158102766553</v>
      </c>
      <c r="U8" s="134">
        <f>S8/'Macro Var'!$F$4</f>
        <v>7.8637600263996923E-3</v>
      </c>
      <c r="V8" s="20">
        <v>19</v>
      </c>
      <c r="W8" s="14">
        <v>5</v>
      </c>
      <c r="X8" s="14">
        <v>0</v>
      </c>
      <c r="Y8" s="21">
        <v>0</v>
      </c>
      <c r="Z8" s="20">
        <f t="shared" si="3"/>
        <v>17</v>
      </c>
      <c r="AA8" s="14">
        <v>12</v>
      </c>
      <c r="AB8" s="14">
        <v>5</v>
      </c>
      <c r="AC8" s="14">
        <v>0</v>
      </c>
      <c r="AD8" s="21">
        <v>0</v>
      </c>
      <c r="AE8" s="14">
        <v>4</v>
      </c>
      <c r="AF8" s="20">
        <v>3</v>
      </c>
      <c r="AG8" s="14">
        <v>0</v>
      </c>
      <c r="AH8" s="14">
        <v>0</v>
      </c>
      <c r="AI8" s="14">
        <v>0</v>
      </c>
      <c r="AJ8" s="14">
        <v>0</v>
      </c>
      <c r="AK8" s="21">
        <f>ROUND(S8-Z8-AE8-SUM(AF8:AJ8),4)</f>
        <v>0</v>
      </c>
      <c r="AL8" s="14">
        <v>0</v>
      </c>
      <c r="AM8" s="14">
        <v>0</v>
      </c>
      <c r="AN8" s="14">
        <v>0</v>
      </c>
      <c r="AO8" s="14">
        <v>0</v>
      </c>
      <c r="AP8" s="138" t="s">
        <v>16</v>
      </c>
      <c r="AR8" s="118">
        <f t="shared" si="4"/>
        <v>5</v>
      </c>
      <c r="AS8" s="118">
        <f t="shared" si="5"/>
        <v>5</v>
      </c>
      <c r="AT8" s="118">
        <f t="shared" si="24"/>
        <v>5</v>
      </c>
      <c r="AU8" s="118">
        <f t="shared" si="7"/>
        <v>5</v>
      </c>
      <c r="AV8" s="118">
        <f t="shared" si="7"/>
        <v>5</v>
      </c>
      <c r="AW8" s="118">
        <f t="shared" si="7"/>
        <v>5</v>
      </c>
      <c r="AX8" s="118">
        <f t="shared" si="7"/>
        <v>5</v>
      </c>
      <c r="AY8" s="118">
        <f t="shared" si="8"/>
        <v>5</v>
      </c>
      <c r="AZ8" s="118">
        <f t="shared" si="9"/>
        <v>0</v>
      </c>
      <c r="BB8" s="119">
        <f t="shared" si="10"/>
        <v>0</v>
      </c>
      <c r="BC8" s="119">
        <f t="shared" si="11"/>
        <v>0</v>
      </c>
      <c r="BD8" s="119">
        <f t="shared" si="12"/>
        <v>0</v>
      </c>
      <c r="BE8" s="120">
        <f t="shared" si="13"/>
        <v>0</v>
      </c>
      <c r="BF8" s="120">
        <f t="shared" si="14"/>
        <v>0</v>
      </c>
      <c r="BG8" s="120">
        <f t="shared" si="15"/>
        <v>0</v>
      </c>
      <c r="BH8" s="120">
        <f t="shared" si="22"/>
        <v>0</v>
      </c>
      <c r="BJ8" s="119">
        <f t="shared" si="23"/>
        <v>0</v>
      </c>
      <c r="BK8" s="119">
        <f t="shared" si="17"/>
        <v>0</v>
      </c>
      <c r="BL8" s="119">
        <f t="shared" si="18"/>
        <v>0</v>
      </c>
      <c r="BM8" s="119">
        <f t="shared" si="19"/>
        <v>0</v>
      </c>
      <c r="BN8" s="119">
        <f t="shared" si="20"/>
        <v>0</v>
      </c>
      <c r="BO8" s="119">
        <f t="shared" si="21"/>
        <v>0</v>
      </c>
    </row>
    <row r="9" spans="3:75" ht="45" customHeight="1" x14ac:dyDescent="0.3">
      <c r="D9" s="4">
        <f t="shared" si="0"/>
        <v>6</v>
      </c>
      <c r="E9" s="15" t="s">
        <v>30</v>
      </c>
      <c r="F9" s="11" t="s">
        <v>20</v>
      </c>
      <c r="G9" s="16" t="s">
        <v>169</v>
      </c>
      <c r="H9" s="12" t="s">
        <v>14</v>
      </c>
      <c r="I9" s="12" t="s">
        <v>15</v>
      </c>
      <c r="J9" s="12" t="s">
        <v>19</v>
      </c>
      <c r="K9" s="116">
        <v>2</v>
      </c>
      <c r="L9" s="12" t="s">
        <v>18</v>
      </c>
      <c r="M9" s="13">
        <v>0</v>
      </c>
      <c r="N9" s="18" t="s">
        <v>22</v>
      </c>
      <c r="O9" s="11" t="s">
        <v>31</v>
      </c>
      <c r="P9" s="11" t="s">
        <v>32</v>
      </c>
      <c r="Q9" s="19" t="s">
        <v>33</v>
      </c>
      <c r="R9" s="135">
        <v>53.6</v>
      </c>
      <c r="S9" s="14">
        <f t="shared" si="1"/>
        <v>53.6</v>
      </c>
      <c r="T9" s="136">
        <f t="shared" si="2"/>
        <v>0</v>
      </c>
      <c r="U9" s="134">
        <f>S9/'Macro Var'!$F$4</f>
        <v>1.7562397392292647E-2</v>
      </c>
      <c r="V9" s="20">
        <v>3.6</v>
      </c>
      <c r="W9" s="14">
        <v>25</v>
      </c>
      <c r="X9" s="14">
        <v>25</v>
      </c>
      <c r="Y9" s="21">
        <v>0</v>
      </c>
      <c r="Z9" s="20">
        <f t="shared" si="3"/>
        <v>0</v>
      </c>
      <c r="AA9" s="14">
        <v>0</v>
      </c>
      <c r="AB9" s="14">
        <v>0</v>
      </c>
      <c r="AC9" s="14">
        <v>0</v>
      </c>
      <c r="AD9" s="21">
        <v>0</v>
      </c>
      <c r="AE9" s="14">
        <v>0</v>
      </c>
      <c r="AF9" s="20">
        <v>13.6</v>
      </c>
      <c r="AG9" s="14">
        <v>11.78</v>
      </c>
      <c r="AH9" s="14">
        <v>18</v>
      </c>
      <c r="AI9" s="14">
        <v>10.220000000000001</v>
      </c>
      <c r="AJ9" s="14">
        <v>0</v>
      </c>
      <c r="AK9" s="21">
        <f>S9-Z9-AE9-SUM(AF9:AJ9)</f>
        <v>0</v>
      </c>
      <c r="AL9" s="14">
        <v>0</v>
      </c>
      <c r="AM9" s="14">
        <v>0</v>
      </c>
      <c r="AN9" s="14">
        <v>0</v>
      </c>
      <c r="AO9" s="14">
        <v>0</v>
      </c>
      <c r="AP9" s="138" t="s">
        <v>15</v>
      </c>
      <c r="AR9" s="118">
        <f t="shared" si="4"/>
        <v>0</v>
      </c>
      <c r="AS9" s="118">
        <f t="shared" si="5"/>
        <v>0</v>
      </c>
      <c r="AT9" s="118">
        <f t="shared" si="24"/>
        <v>0</v>
      </c>
      <c r="AU9" s="118">
        <f t="shared" si="7"/>
        <v>0</v>
      </c>
      <c r="AV9" s="118">
        <f t="shared" si="7"/>
        <v>0</v>
      </c>
      <c r="AW9" s="118">
        <f t="shared" si="7"/>
        <v>0</v>
      </c>
      <c r="AX9" s="118">
        <f t="shared" si="7"/>
        <v>0</v>
      </c>
      <c r="AY9" s="118">
        <f t="shared" si="8"/>
        <v>50</v>
      </c>
      <c r="AZ9" s="118">
        <f t="shared" si="9"/>
        <v>0</v>
      </c>
      <c r="BB9" s="119">
        <f t="shared" si="10"/>
        <v>0</v>
      </c>
      <c r="BC9" s="119">
        <f t="shared" si="11"/>
        <v>0</v>
      </c>
      <c r="BD9" s="119">
        <f t="shared" si="12"/>
        <v>0</v>
      </c>
      <c r="BE9" s="120">
        <f t="shared" si="13"/>
        <v>0</v>
      </c>
      <c r="BF9" s="120">
        <f t="shared" si="14"/>
        <v>0</v>
      </c>
      <c r="BG9" s="120">
        <f t="shared" si="15"/>
        <v>0</v>
      </c>
      <c r="BH9" s="120">
        <f t="shared" si="22"/>
        <v>50</v>
      </c>
      <c r="BJ9" s="119">
        <f t="shared" si="23"/>
        <v>0</v>
      </c>
      <c r="BK9" s="119">
        <f t="shared" si="17"/>
        <v>0</v>
      </c>
      <c r="BL9" s="119">
        <f t="shared" si="18"/>
        <v>0</v>
      </c>
      <c r="BM9" s="119">
        <f t="shared" si="19"/>
        <v>0</v>
      </c>
      <c r="BN9" s="119">
        <f t="shared" si="20"/>
        <v>0</v>
      </c>
      <c r="BO9" s="119">
        <f t="shared" si="21"/>
        <v>0</v>
      </c>
    </row>
    <row r="10" spans="3:75" ht="45" hidden="1" customHeight="1" x14ac:dyDescent="0.3">
      <c r="D10" s="4">
        <f t="shared" si="0"/>
        <v>7</v>
      </c>
      <c r="E10" s="15" t="s">
        <v>95</v>
      </c>
      <c r="F10" s="11" t="s">
        <v>34</v>
      </c>
      <c r="G10" s="16" t="s">
        <v>37</v>
      </c>
      <c r="H10" s="12" t="s">
        <v>14</v>
      </c>
      <c r="I10" s="12" t="s">
        <v>15</v>
      </c>
      <c r="J10" s="12" t="s">
        <v>19</v>
      </c>
      <c r="K10" s="116">
        <v>4.5</v>
      </c>
      <c r="L10" s="12" t="s">
        <v>241</v>
      </c>
      <c r="M10" s="12" t="s">
        <v>81</v>
      </c>
      <c r="N10" s="18" t="s">
        <v>42</v>
      </c>
      <c r="O10" s="11" t="s">
        <v>96</v>
      </c>
      <c r="P10" s="11" t="s">
        <v>97</v>
      </c>
      <c r="Q10" s="19" t="s">
        <v>98</v>
      </c>
      <c r="R10" s="135">
        <v>94.3333333333333</v>
      </c>
      <c r="S10" s="14">
        <f t="shared" si="1"/>
        <v>126.5</v>
      </c>
      <c r="T10" s="136">
        <f t="shared" si="2"/>
        <v>0.34098939929328664</v>
      </c>
      <c r="U10" s="134">
        <f>S10/'Macro Var'!$F$4</f>
        <v>4.1448568472481712E-2</v>
      </c>
      <c r="V10" s="20">
        <v>31.5</v>
      </c>
      <c r="W10" s="14">
        <v>95</v>
      </c>
      <c r="X10" s="14">
        <v>0</v>
      </c>
      <c r="Y10" s="21">
        <v>0</v>
      </c>
      <c r="Z10" s="20">
        <f t="shared" si="3"/>
        <v>82</v>
      </c>
      <c r="AA10" s="14">
        <v>2</v>
      </c>
      <c r="AB10" s="14">
        <v>80</v>
      </c>
      <c r="AC10" s="14">
        <v>0</v>
      </c>
      <c r="AD10" s="21">
        <v>0</v>
      </c>
      <c r="AE10" s="14">
        <v>15.5</v>
      </c>
      <c r="AF10" s="20">
        <v>10</v>
      </c>
      <c r="AG10" s="14">
        <v>7</v>
      </c>
      <c r="AH10" s="14">
        <v>7</v>
      </c>
      <c r="AI10" s="14">
        <v>5</v>
      </c>
      <c r="AJ10" s="14">
        <v>0</v>
      </c>
      <c r="AK10" s="21">
        <f>ROUND(S10-Z10-AE10-SUM(AF10:AJ10),4)</f>
        <v>0</v>
      </c>
      <c r="AL10" s="14">
        <v>0</v>
      </c>
      <c r="AM10" s="14">
        <v>0</v>
      </c>
      <c r="AN10" s="14">
        <v>0</v>
      </c>
      <c r="AO10" s="14">
        <v>0</v>
      </c>
      <c r="AP10" s="138" t="s">
        <v>16</v>
      </c>
      <c r="AR10" s="118">
        <f t="shared" si="4"/>
        <v>80</v>
      </c>
      <c r="AS10" s="118">
        <f t="shared" si="5"/>
        <v>86.302870271488075</v>
      </c>
      <c r="AT10" s="118">
        <f t="shared" si="24"/>
        <v>87.921601732062783</v>
      </c>
      <c r="AU10" s="118">
        <f t="shared" si="7"/>
        <v>89.272441392749798</v>
      </c>
      <c r="AV10" s="118">
        <f t="shared" si="7"/>
        <v>90.502338281391715</v>
      </c>
      <c r="AW10" s="118">
        <f t="shared" si="7"/>
        <v>91.93861552941749</v>
      </c>
      <c r="AX10" s="118">
        <f t="shared" si="7"/>
        <v>91.93861552941749</v>
      </c>
      <c r="AY10" s="118">
        <f t="shared" si="8"/>
        <v>95</v>
      </c>
      <c r="AZ10" s="118">
        <f t="shared" si="9"/>
        <v>0</v>
      </c>
      <c r="BB10" s="119">
        <f t="shared" si="10"/>
        <v>6.3028702714880813</v>
      </c>
      <c r="BC10" s="119">
        <f t="shared" si="11"/>
        <v>1.6187314605747027</v>
      </c>
      <c r="BD10" s="119">
        <f t="shared" si="12"/>
        <v>1.3508396606870161</v>
      </c>
      <c r="BE10" s="120">
        <f t="shared" si="13"/>
        <v>1.2298968886419148</v>
      </c>
      <c r="BF10" s="120">
        <f t="shared" si="14"/>
        <v>1.4362772480257715</v>
      </c>
      <c r="BG10" s="120">
        <f t="shared" ref="BG10:BG31" si="25">AJ10/SUMPRODUCT($BO$4:$BO$31,$AJ$4:$AJ$31)*BO10*$BF$1</f>
        <v>0</v>
      </c>
      <c r="BH10" s="120">
        <f t="shared" si="22"/>
        <v>3.0613844705825102</v>
      </c>
      <c r="BJ10" s="119">
        <f t="shared" si="23"/>
        <v>1</v>
      </c>
      <c r="BK10" s="119">
        <f t="shared" si="17"/>
        <v>1</v>
      </c>
      <c r="BL10" s="119">
        <f t="shared" si="18"/>
        <v>1</v>
      </c>
      <c r="BM10" s="119">
        <f t="shared" si="19"/>
        <v>1</v>
      </c>
      <c r="BN10" s="119">
        <f t="shared" si="20"/>
        <v>1</v>
      </c>
      <c r="BO10" s="119">
        <f t="shared" si="21"/>
        <v>0</v>
      </c>
    </row>
    <row r="11" spans="3:75" ht="45" customHeight="1" x14ac:dyDescent="0.3">
      <c r="D11" s="4">
        <f t="shared" si="0"/>
        <v>8</v>
      </c>
      <c r="E11" s="15" t="s">
        <v>36</v>
      </c>
      <c r="F11" s="11" t="s">
        <v>34</v>
      </c>
      <c r="G11" s="16" t="s">
        <v>37</v>
      </c>
      <c r="H11" s="12" t="s">
        <v>14</v>
      </c>
      <c r="I11" s="12" t="s">
        <v>15</v>
      </c>
      <c r="J11" s="12" t="s">
        <v>19</v>
      </c>
      <c r="K11" s="116">
        <v>4</v>
      </c>
      <c r="L11" s="12" t="s">
        <v>18</v>
      </c>
      <c r="M11" s="13">
        <v>0</v>
      </c>
      <c r="N11" s="18" t="s">
        <v>35</v>
      </c>
      <c r="O11" s="11" t="s">
        <v>38</v>
      </c>
      <c r="P11" s="11" t="s">
        <v>39</v>
      </c>
      <c r="Q11" s="19" t="s">
        <v>40</v>
      </c>
      <c r="R11" s="135">
        <v>16.2</v>
      </c>
      <c r="S11" s="14">
        <f t="shared" si="1"/>
        <v>16.2</v>
      </c>
      <c r="T11" s="136">
        <f t="shared" si="2"/>
        <v>0</v>
      </c>
      <c r="U11" s="134">
        <f>S11/'Macro Var'!$F$4</f>
        <v>5.3080380178197918E-3</v>
      </c>
      <c r="V11" s="20">
        <v>8.1999999999999993</v>
      </c>
      <c r="W11" s="14">
        <v>0</v>
      </c>
      <c r="X11" s="14">
        <v>8</v>
      </c>
      <c r="Y11" s="21">
        <v>0</v>
      </c>
      <c r="Z11" s="20">
        <f t="shared" si="3"/>
        <v>0</v>
      </c>
      <c r="AA11" s="14">
        <v>0</v>
      </c>
      <c r="AB11" s="14">
        <v>0</v>
      </c>
      <c r="AC11" s="14">
        <v>0</v>
      </c>
      <c r="AD11" s="21">
        <v>0</v>
      </c>
      <c r="AE11" s="14">
        <v>0</v>
      </c>
      <c r="AF11" s="20">
        <v>7.3</v>
      </c>
      <c r="AG11" s="14">
        <v>6.2</v>
      </c>
      <c r="AH11" s="14">
        <v>0</v>
      </c>
      <c r="AI11" s="14">
        <v>0</v>
      </c>
      <c r="AJ11" s="14">
        <v>0</v>
      </c>
      <c r="AK11" s="21">
        <f>S11-Z11-AE11-SUM(AF11:AJ11)</f>
        <v>2.6999999999999993</v>
      </c>
      <c r="AL11" s="14">
        <v>0.16200000000000001</v>
      </c>
      <c r="AM11" s="14">
        <v>0.17730397597949529</v>
      </c>
      <c r="AN11" s="14">
        <v>0.19300075821091445</v>
      </c>
      <c r="AO11" s="14">
        <v>0.20829853274325283</v>
      </c>
      <c r="AP11" s="138" t="s">
        <v>16</v>
      </c>
      <c r="AR11" s="118">
        <f t="shared" si="4"/>
        <v>0</v>
      </c>
      <c r="AS11" s="118">
        <f t="shared" si="5"/>
        <v>0</v>
      </c>
      <c r="AT11" s="118">
        <f t="shared" si="24"/>
        <v>1.1816739662195328</v>
      </c>
      <c r="AU11" s="118">
        <f t="shared" si="7"/>
        <v>2.3781319513994617</v>
      </c>
      <c r="AV11" s="118">
        <f t="shared" si="7"/>
        <v>2.3781319513994617</v>
      </c>
      <c r="AW11" s="118">
        <f t="shared" si="7"/>
        <v>2.3781319513994617</v>
      </c>
      <c r="AX11" s="118">
        <f t="shared" si="7"/>
        <v>2.3781319513994617</v>
      </c>
      <c r="AY11" s="118">
        <f t="shared" si="8"/>
        <v>8</v>
      </c>
      <c r="AZ11" s="118">
        <f t="shared" si="9"/>
        <v>0</v>
      </c>
      <c r="BB11" s="119">
        <f t="shared" si="10"/>
        <v>0</v>
      </c>
      <c r="BC11" s="119">
        <f t="shared" si="11"/>
        <v>1.1816739662195328</v>
      </c>
      <c r="BD11" s="119">
        <f t="shared" si="12"/>
        <v>1.1964579851799289</v>
      </c>
      <c r="BE11" s="120">
        <f t="shared" si="13"/>
        <v>0</v>
      </c>
      <c r="BF11" s="120">
        <f t="shared" si="14"/>
        <v>0</v>
      </c>
      <c r="BG11" s="120">
        <f t="shared" si="25"/>
        <v>0</v>
      </c>
      <c r="BH11" s="120">
        <f t="shared" si="22"/>
        <v>5.6218680486005379</v>
      </c>
      <c r="BJ11" s="119">
        <f t="shared" si="23"/>
        <v>0</v>
      </c>
      <c r="BK11" s="119">
        <f t="shared" si="17"/>
        <v>1</v>
      </c>
      <c r="BL11" s="119">
        <f t="shared" si="18"/>
        <v>1</v>
      </c>
      <c r="BM11" s="119">
        <f t="shared" si="19"/>
        <v>0</v>
      </c>
      <c r="BN11" s="119">
        <f t="shared" si="20"/>
        <v>0</v>
      </c>
      <c r="BO11" s="119">
        <f t="shared" si="21"/>
        <v>0</v>
      </c>
    </row>
    <row r="12" spans="3:75" ht="45" customHeight="1" x14ac:dyDescent="0.3">
      <c r="D12" s="4">
        <f t="shared" si="0"/>
        <v>9</v>
      </c>
      <c r="E12" s="15" t="s">
        <v>41</v>
      </c>
      <c r="F12" s="11" t="s">
        <v>34</v>
      </c>
      <c r="G12" s="16" t="s">
        <v>37</v>
      </c>
      <c r="H12" s="12" t="s">
        <v>14</v>
      </c>
      <c r="I12" s="12" t="s">
        <v>15</v>
      </c>
      <c r="J12" s="12" t="s">
        <v>19</v>
      </c>
      <c r="K12" s="116">
        <v>3.7</v>
      </c>
      <c r="L12" s="12" t="s">
        <v>18</v>
      </c>
      <c r="M12" s="13">
        <v>0</v>
      </c>
      <c r="N12" s="18" t="s">
        <v>42</v>
      </c>
      <c r="O12" s="11" t="s">
        <v>43</v>
      </c>
      <c r="P12" s="11" t="s">
        <v>44</v>
      </c>
      <c r="Q12" s="19" t="s">
        <v>45</v>
      </c>
      <c r="R12" s="135">
        <v>18.37</v>
      </c>
      <c r="S12" s="14">
        <f t="shared" si="1"/>
        <v>18.37</v>
      </c>
      <c r="T12" s="136">
        <f t="shared" si="2"/>
        <v>0</v>
      </c>
      <c r="U12" s="134">
        <f>S12/'Macro Var'!$F$4</f>
        <v>6.0190529868734315E-3</v>
      </c>
      <c r="V12" s="20">
        <v>6.37</v>
      </c>
      <c r="W12" s="14">
        <v>12</v>
      </c>
      <c r="X12" s="14">
        <v>0</v>
      </c>
      <c r="Y12" s="21">
        <v>0</v>
      </c>
      <c r="Z12" s="20">
        <f t="shared" si="3"/>
        <v>0</v>
      </c>
      <c r="AA12" s="14">
        <v>0</v>
      </c>
      <c r="AB12" s="14">
        <v>0</v>
      </c>
      <c r="AC12" s="14">
        <v>0</v>
      </c>
      <c r="AD12" s="21">
        <v>0</v>
      </c>
      <c r="AE12" s="14">
        <v>0</v>
      </c>
      <c r="AF12" s="20">
        <v>0.9</v>
      </c>
      <c r="AG12" s="14">
        <v>6.2</v>
      </c>
      <c r="AH12" s="14">
        <v>10.37</v>
      </c>
      <c r="AI12" s="14">
        <v>0.9</v>
      </c>
      <c r="AJ12" s="14">
        <v>0</v>
      </c>
      <c r="AK12" s="21">
        <f>S12-Z12-AE12-SUM(AF12:AJ12)</f>
        <v>0</v>
      </c>
      <c r="AL12" s="14">
        <v>0.1837</v>
      </c>
      <c r="AM12" s="14">
        <v>0.20105395300884743</v>
      </c>
      <c r="AN12" s="14">
        <v>0.21885332890953693</v>
      </c>
      <c r="AO12" s="14">
        <v>0.23620024978355275</v>
      </c>
      <c r="AP12" s="138" t="s">
        <v>16</v>
      </c>
      <c r="AR12" s="118">
        <f t="shared" si="4"/>
        <v>0</v>
      </c>
      <c r="AS12" s="118">
        <f t="shared" si="5"/>
        <v>0</v>
      </c>
      <c r="AT12" s="118">
        <f t="shared" si="24"/>
        <v>0.14568583145172323</v>
      </c>
      <c r="AU12" s="118">
        <f t="shared" si="7"/>
        <v>1.3421438166316522</v>
      </c>
      <c r="AV12" s="118">
        <f t="shared" si="7"/>
        <v>3.164148207376889</v>
      </c>
      <c r="AW12" s="118">
        <f t="shared" si="7"/>
        <v>3.4226781120215279</v>
      </c>
      <c r="AX12" s="118">
        <f t="shared" si="7"/>
        <v>3.4226781120215279</v>
      </c>
      <c r="AY12" s="118">
        <f t="shared" si="8"/>
        <v>12</v>
      </c>
      <c r="AZ12" s="118">
        <f t="shared" si="9"/>
        <v>0</v>
      </c>
      <c r="BB12" s="119">
        <f t="shared" si="10"/>
        <v>0</v>
      </c>
      <c r="BC12" s="119">
        <f t="shared" si="11"/>
        <v>0.14568583145172323</v>
      </c>
      <c r="BD12" s="119">
        <f t="shared" si="12"/>
        <v>1.1964579851799289</v>
      </c>
      <c r="BE12" s="120">
        <f t="shared" si="13"/>
        <v>1.8220043907452368</v>
      </c>
      <c r="BF12" s="120">
        <f t="shared" si="14"/>
        <v>0.25852990464463893</v>
      </c>
      <c r="BG12" s="120">
        <f t="shared" si="25"/>
        <v>0</v>
      </c>
      <c r="BH12" s="120">
        <f t="shared" si="22"/>
        <v>8.5773218879784725</v>
      </c>
      <c r="BJ12" s="119">
        <f t="shared" si="23"/>
        <v>0</v>
      </c>
      <c r="BK12" s="119">
        <f t="shared" si="17"/>
        <v>1</v>
      </c>
      <c r="BL12" s="119">
        <f t="shared" si="18"/>
        <v>1</v>
      </c>
      <c r="BM12" s="119">
        <f t="shared" si="19"/>
        <v>1</v>
      </c>
      <c r="BN12" s="119">
        <f t="shared" si="20"/>
        <v>1</v>
      </c>
      <c r="BO12" s="119">
        <f t="shared" si="21"/>
        <v>0</v>
      </c>
    </row>
    <row r="13" spans="3:75" ht="45" hidden="1" customHeight="1" x14ac:dyDescent="0.3">
      <c r="D13" s="4">
        <f t="shared" si="0"/>
        <v>10</v>
      </c>
      <c r="E13" s="15" t="s">
        <v>148</v>
      </c>
      <c r="F13" s="11" t="s">
        <v>58</v>
      </c>
      <c r="G13" s="16" t="s">
        <v>61</v>
      </c>
      <c r="H13" s="12" t="s">
        <v>14</v>
      </c>
      <c r="I13" s="12" t="s">
        <v>16</v>
      </c>
      <c r="J13" s="12" t="s">
        <v>17</v>
      </c>
      <c r="K13" s="116">
        <v>2879.5</v>
      </c>
      <c r="L13" s="12" t="s">
        <v>241</v>
      </c>
      <c r="M13" s="12" t="s">
        <v>86</v>
      </c>
      <c r="N13" s="18" t="s">
        <v>66</v>
      </c>
      <c r="O13" s="11" t="s">
        <v>149</v>
      </c>
      <c r="P13" s="11" t="s">
        <v>150</v>
      </c>
      <c r="Q13" s="19" t="s">
        <v>151</v>
      </c>
      <c r="R13" s="135">
        <v>170.625</v>
      </c>
      <c r="S13" s="14">
        <f t="shared" si="1"/>
        <v>180</v>
      </c>
      <c r="T13" s="136">
        <f t="shared" si="2"/>
        <v>5.4945054945054972E-2</v>
      </c>
      <c r="U13" s="134">
        <f>S13/'Macro Var'!$F$4</f>
        <v>5.8978200197997689E-2</v>
      </c>
      <c r="V13" s="20">
        <v>40</v>
      </c>
      <c r="W13" s="14">
        <v>70</v>
      </c>
      <c r="X13" s="14">
        <v>70</v>
      </c>
      <c r="Y13" s="21">
        <v>0</v>
      </c>
      <c r="Z13" s="20">
        <f t="shared" si="3"/>
        <v>105.5</v>
      </c>
      <c r="AA13" s="14">
        <v>3</v>
      </c>
      <c r="AB13" s="14">
        <v>59.7</v>
      </c>
      <c r="AC13" s="14">
        <v>42.8</v>
      </c>
      <c r="AD13" s="21">
        <v>0</v>
      </c>
      <c r="AE13" s="14">
        <v>17.5</v>
      </c>
      <c r="AF13" s="20">
        <v>15</v>
      </c>
      <c r="AG13" s="14">
        <v>13</v>
      </c>
      <c r="AH13" s="14">
        <v>12</v>
      </c>
      <c r="AI13" s="14">
        <v>8</v>
      </c>
      <c r="AJ13" s="14">
        <v>9</v>
      </c>
      <c r="AK13" s="21">
        <f>ROUND(S13-Z13-AE13-SUM(AF13:AJ13),4)</f>
        <v>0</v>
      </c>
      <c r="AL13" s="14">
        <v>5.3999999999999995</v>
      </c>
      <c r="AM13" s="14">
        <v>5.9101325326498424</v>
      </c>
      <c r="AN13" s="14">
        <v>6.4333586070304811</v>
      </c>
      <c r="AO13" s="14">
        <v>6.9432844247750936</v>
      </c>
      <c r="AP13" s="138" t="s">
        <v>16</v>
      </c>
      <c r="AR13" s="118">
        <f t="shared" si="4"/>
        <v>102.5</v>
      </c>
      <c r="AS13" s="118">
        <f>AR13+BB13</f>
        <v>109.6161438549059</v>
      </c>
      <c r="AT13" s="118">
        <f t="shared" si="24"/>
        <v>112.04424104576795</v>
      </c>
      <c r="AU13" s="118">
        <f t="shared" si="7"/>
        <v>114.55294327275811</v>
      </c>
      <c r="AV13" s="118">
        <f t="shared" si="7"/>
        <v>116.6613379390014</v>
      </c>
      <c r="AW13" s="118">
        <f t="shared" si="7"/>
        <v>118.95938153584264</v>
      </c>
      <c r="AX13" s="118">
        <f t="shared" si="7"/>
        <v>122.29395612964316</v>
      </c>
      <c r="AY13" s="118">
        <f t="shared" si="8"/>
        <v>140</v>
      </c>
      <c r="AZ13" s="118">
        <f t="shared" si="9"/>
        <v>0</v>
      </c>
      <c r="BB13" s="119">
        <f t="shared" si="10"/>
        <v>7.1161438549058982</v>
      </c>
      <c r="BC13" s="119">
        <f t="shared" ref="BC13:BC31" si="26">AF13/SUMPRODUCT($BK$4:$BK$31,$AF$4:$AF$31)*BK13*$BC$1</f>
        <v>2.4280971908620539</v>
      </c>
      <c r="BD13" s="119">
        <f t="shared" si="12"/>
        <v>2.5087022269901729</v>
      </c>
      <c r="BE13" s="120">
        <f t="shared" si="13"/>
        <v>2.1083946662432829</v>
      </c>
      <c r="BF13" s="120">
        <f t="shared" si="14"/>
        <v>2.2980435968412345</v>
      </c>
      <c r="BG13" s="120">
        <f t="shared" si="25"/>
        <v>3.334574593800526</v>
      </c>
      <c r="BH13" s="120">
        <f t="shared" si="22"/>
        <v>17.706043870356837</v>
      </c>
      <c r="BJ13" s="119">
        <f t="shared" si="23"/>
        <v>1</v>
      </c>
      <c r="BK13" s="119">
        <f t="shared" si="17"/>
        <v>1</v>
      </c>
      <c r="BL13" s="119">
        <f t="shared" si="18"/>
        <v>1</v>
      </c>
      <c r="BM13" s="119">
        <f t="shared" si="19"/>
        <v>1</v>
      </c>
      <c r="BN13" s="119">
        <f t="shared" si="20"/>
        <v>1</v>
      </c>
      <c r="BO13" s="119">
        <f t="shared" si="21"/>
        <v>1</v>
      </c>
    </row>
    <row r="14" spans="3:75" ht="45" hidden="1" customHeight="1" x14ac:dyDescent="0.3">
      <c r="D14" s="4">
        <f t="shared" si="0"/>
        <v>11</v>
      </c>
      <c r="E14" s="15" t="s">
        <v>126</v>
      </c>
      <c r="F14" s="11" t="s">
        <v>58</v>
      </c>
      <c r="G14" s="16" t="s">
        <v>61</v>
      </c>
      <c r="H14" s="12" t="s">
        <v>14</v>
      </c>
      <c r="I14" s="12" t="s">
        <v>16</v>
      </c>
      <c r="J14" s="12" t="s">
        <v>17</v>
      </c>
      <c r="K14" s="116">
        <v>264.3</v>
      </c>
      <c r="L14" s="12" t="s">
        <v>241</v>
      </c>
      <c r="M14" s="12" t="s">
        <v>127</v>
      </c>
      <c r="N14" s="18" t="s">
        <v>66</v>
      </c>
      <c r="O14" s="11" t="s">
        <v>128</v>
      </c>
      <c r="P14" s="11" t="s">
        <v>129</v>
      </c>
      <c r="Q14" s="19" t="s">
        <v>130</v>
      </c>
      <c r="R14" s="135">
        <v>78.260869565217391</v>
      </c>
      <c r="S14" s="14">
        <f t="shared" si="1"/>
        <v>90</v>
      </c>
      <c r="T14" s="136">
        <f t="shared" si="2"/>
        <v>0.14999999999999991</v>
      </c>
      <c r="U14" s="134">
        <f>S14/'Macro Var'!$F$4</f>
        <v>2.9489100098998845E-2</v>
      </c>
      <c r="V14" s="20">
        <v>18</v>
      </c>
      <c r="W14" s="14">
        <v>36</v>
      </c>
      <c r="X14" s="14">
        <v>36</v>
      </c>
      <c r="Y14" s="21">
        <v>0</v>
      </c>
      <c r="Z14" s="20">
        <f t="shared" si="3"/>
        <v>45</v>
      </c>
      <c r="AA14" s="14">
        <v>2.8</v>
      </c>
      <c r="AB14" s="14">
        <v>19</v>
      </c>
      <c r="AC14" s="14">
        <v>23.2</v>
      </c>
      <c r="AD14" s="21">
        <v>0</v>
      </c>
      <c r="AE14" s="14">
        <v>0</v>
      </c>
      <c r="AF14" s="20">
        <v>10</v>
      </c>
      <c r="AG14" s="14">
        <v>7.5</v>
      </c>
      <c r="AH14" s="14">
        <v>5</v>
      </c>
      <c r="AI14" s="14">
        <v>12</v>
      </c>
      <c r="AJ14" s="14">
        <v>10.5</v>
      </c>
      <c r="AK14" s="21">
        <f>ROUND(S14-Z14-AE14-SUM(AF14:AJ14),4)</f>
        <v>0</v>
      </c>
      <c r="AL14" s="14">
        <v>2.6999999999999997</v>
      </c>
      <c r="AM14" s="14">
        <v>2.9550662663249212</v>
      </c>
      <c r="AN14" s="14">
        <v>3.2166793035152406</v>
      </c>
      <c r="AO14" s="14">
        <v>3.4716422123875468</v>
      </c>
      <c r="AP14" s="138" t="s">
        <v>16</v>
      </c>
      <c r="AR14" s="118">
        <f t="shared" si="4"/>
        <v>42.2</v>
      </c>
      <c r="AS14" s="118">
        <f t="shared" si="5"/>
        <v>42.2</v>
      </c>
      <c r="AT14" s="118">
        <f t="shared" si="24"/>
        <v>43.818731460574703</v>
      </c>
      <c r="AU14" s="118">
        <f t="shared" si="7"/>
        <v>45.26605966845365</v>
      </c>
      <c r="AV14" s="118">
        <f t="shared" si="7"/>
        <v>46.144557446055018</v>
      </c>
      <c r="AW14" s="118">
        <f t="shared" si="7"/>
        <v>49.59162284131687</v>
      </c>
      <c r="AX14" s="118">
        <f t="shared" si="7"/>
        <v>53.48195986741748</v>
      </c>
      <c r="AY14" s="118">
        <f t="shared" si="8"/>
        <v>72</v>
      </c>
      <c r="AZ14" s="118">
        <f t="shared" si="9"/>
        <v>0</v>
      </c>
      <c r="BB14" s="119">
        <f t="shared" si="10"/>
        <v>0</v>
      </c>
      <c r="BC14" s="119">
        <f t="shared" si="26"/>
        <v>1.6187314605747027</v>
      </c>
      <c r="BD14" s="119">
        <f t="shared" si="12"/>
        <v>1.447328207878946</v>
      </c>
      <c r="BE14" s="120">
        <f t="shared" si="13"/>
        <v>0.87849777760136771</v>
      </c>
      <c r="BF14" s="120">
        <f t="shared" si="14"/>
        <v>3.4470653952618515</v>
      </c>
      <c r="BG14" s="120">
        <f t="shared" si="25"/>
        <v>3.8903370261006134</v>
      </c>
      <c r="BH14" s="120">
        <f t="shared" si="22"/>
        <v>18.51804013258252</v>
      </c>
      <c r="BJ14" s="119">
        <f t="shared" si="23"/>
        <v>0</v>
      </c>
      <c r="BK14" s="119">
        <f t="shared" si="17"/>
        <v>1</v>
      </c>
      <c r="BL14" s="119">
        <f t="shared" si="18"/>
        <v>1</v>
      </c>
      <c r="BM14" s="119">
        <f t="shared" si="19"/>
        <v>1</v>
      </c>
      <c r="BN14" s="119">
        <f t="shared" si="20"/>
        <v>1</v>
      </c>
      <c r="BO14" s="119">
        <f t="shared" si="21"/>
        <v>1</v>
      </c>
    </row>
    <row r="15" spans="3:75" ht="45" hidden="1" customHeight="1" x14ac:dyDescent="0.3">
      <c r="D15" s="4">
        <f t="shared" si="0"/>
        <v>12</v>
      </c>
      <c r="E15" s="15" t="s">
        <v>152</v>
      </c>
      <c r="F15" s="11" t="s">
        <v>58</v>
      </c>
      <c r="G15" s="16" t="s">
        <v>61</v>
      </c>
      <c r="H15" s="12" t="s">
        <v>14</v>
      </c>
      <c r="I15" s="12" t="s">
        <v>16</v>
      </c>
      <c r="J15" s="12" t="s">
        <v>17</v>
      </c>
      <c r="K15" s="116">
        <v>945.9</v>
      </c>
      <c r="L15" s="12" t="s">
        <v>241</v>
      </c>
      <c r="M15" s="12" t="s">
        <v>144</v>
      </c>
      <c r="N15" s="18" t="s">
        <v>66</v>
      </c>
      <c r="O15" s="11" t="s">
        <v>153</v>
      </c>
      <c r="P15" s="11" t="s">
        <v>154</v>
      </c>
      <c r="Q15" s="19" t="s">
        <v>155</v>
      </c>
      <c r="R15" s="135">
        <v>74.975609756097597</v>
      </c>
      <c r="S15" s="14">
        <f t="shared" si="1"/>
        <v>75</v>
      </c>
      <c r="T15" s="136">
        <f t="shared" si="2"/>
        <v>3.25309043590849E-4</v>
      </c>
      <c r="U15" s="134">
        <f>S15/'Macro Var'!$F$4</f>
        <v>2.4574250082499038E-2</v>
      </c>
      <c r="V15" s="20">
        <v>15</v>
      </c>
      <c r="W15" s="14">
        <v>30</v>
      </c>
      <c r="X15" s="14">
        <v>30</v>
      </c>
      <c r="Y15" s="21">
        <v>0</v>
      </c>
      <c r="Z15" s="20">
        <f t="shared" si="3"/>
        <v>45</v>
      </c>
      <c r="AA15" s="14">
        <v>0</v>
      </c>
      <c r="AB15" s="14">
        <v>27</v>
      </c>
      <c r="AC15" s="14">
        <v>18</v>
      </c>
      <c r="AD15" s="21">
        <v>0</v>
      </c>
      <c r="AE15" s="14">
        <v>15</v>
      </c>
      <c r="AF15" s="20">
        <v>10</v>
      </c>
      <c r="AG15" s="14">
        <v>5</v>
      </c>
      <c r="AH15" s="14">
        <v>0</v>
      </c>
      <c r="AI15" s="14">
        <v>0</v>
      </c>
      <c r="AJ15" s="14">
        <v>0</v>
      </c>
      <c r="AK15" s="21">
        <f>ROUND(S15-Z15-AE15-SUM(AF15:AJ15),4)</f>
        <v>0</v>
      </c>
      <c r="AL15" s="14">
        <v>2.25</v>
      </c>
      <c r="AM15" s="14">
        <v>2.4625552219374347</v>
      </c>
      <c r="AN15" s="14">
        <v>2.6805660862627008</v>
      </c>
      <c r="AO15" s="14">
        <v>2.8930351769896228</v>
      </c>
      <c r="AP15" s="138" t="s">
        <v>16</v>
      </c>
      <c r="AR15" s="118">
        <f t="shared" si="4"/>
        <v>45</v>
      </c>
      <c r="AS15" s="118">
        <f t="shared" si="5"/>
        <v>51.09955187563363</v>
      </c>
      <c r="AT15" s="118">
        <f t="shared" si="24"/>
        <v>52.71828333620833</v>
      </c>
      <c r="AU15" s="118">
        <f t="shared" si="7"/>
        <v>53.683168808127625</v>
      </c>
      <c r="AV15" s="118">
        <f t="shared" si="7"/>
        <v>53.683168808127625</v>
      </c>
      <c r="AW15" s="118">
        <f t="shared" si="7"/>
        <v>53.683168808127625</v>
      </c>
      <c r="AX15" s="118">
        <f t="shared" si="7"/>
        <v>53.683168808127625</v>
      </c>
      <c r="AY15" s="118">
        <f t="shared" si="8"/>
        <v>60</v>
      </c>
      <c r="AZ15" s="118">
        <f t="shared" si="9"/>
        <v>0</v>
      </c>
      <c r="BB15" s="119">
        <f t="shared" si="10"/>
        <v>6.0995518756336269</v>
      </c>
      <c r="BC15" s="119">
        <f t="shared" si="26"/>
        <v>1.6187314605747027</v>
      </c>
      <c r="BD15" s="119">
        <f t="shared" si="12"/>
        <v>0.96488547191929741</v>
      </c>
      <c r="BE15" s="120">
        <f t="shared" si="13"/>
        <v>0</v>
      </c>
      <c r="BF15" s="120">
        <f t="shared" si="14"/>
        <v>0</v>
      </c>
      <c r="BG15" s="120">
        <f t="shared" si="25"/>
        <v>0</v>
      </c>
      <c r="BH15" s="120">
        <f t="shared" si="22"/>
        <v>6.3168311918723745</v>
      </c>
      <c r="BJ15" s="119">
        <f t="shared" si="23"/>
        <v>1</v>
      </c>
      <c r="BK15" s="119">
        <f t="shared" si="17"/>
        <v>1</v>
      </c>
      <c r="BL15" s="119">
        <f t="shared" si="18"/>
        <v>1</v>
      </c>
      <c r="BM15" s="119">
        <f t="shared" si="19"/>
        <v>0</v>
      </c>
      <c r="BN15" s="119">
        <f t="shared" si="20"/>
        <v>0</v>
      </c>
      <c r="BO15" s="119">
        <f t="shared" si="21"/>
        <v>0</v>
      </c>
    </row>
    <row r="16" spans="3:75" ht="45" customHeight="1" x14ac:dyDescent="0.3">
      <c r="D16" s="4">
        <f t="shared" si="0"/>
        <v>13</v>
      </c>
      <c r="E16" s="15" t="s">
        <v>70</v>
      </c>
      <c r="F16" s="11" t="s">
        <v>58</v>
      </c>
      <c r="G16" s="16" t="s">
        <v>61</v>
      </c>
      <c r="H16" s="12" t="s">
        <v>14</v>
      </c>
      <c r="I16" s="12" t="s">
        <v>16</v>
      </c>
      <c r="J16" s="12" t="s">
        <v>17</v>
      </c>
      <c r="K16" s="116">
        <v>298</v>
      </c>
      <c r="L16" s="12" t="s">
        <v>18</v>
      </c>
      <c r="M16" s="12">
        <v>0</v>
      </c>
      <c r="N16" s="18" t="s">
        <v>66</v>
      </c>
      <c r="O16" s="11" t="s">
        <v>71</v>
      </c>
      <c r="P16" s="11" t="s">
        <v>72</v>
      </c>
      <c r="Q16" s="19" t="s">
        <v>73</v>
      </c>
      <c r="R16" s="135">
        <v>293.24</v>
      </c>
      <c r="S16" s="14">
        <f t="shared" si="1"/>
        <v>293.24</v>
      </c>
      <c r="T16" s="136">
        <f t="shared" si="2"/>
        <v>0</v>
      </c>
      <c r="U16" s="134">
        <f>S16/'Macro Var'!$F$4</f>
        <v>9.6082041255893577E-2</v>
      </c>
      <c r="V16" s="20">
        <v>30</v>
      </c>
      <c r="W16" s="14">
        <v>263.24</v>
      </c>
      <c r="X16" s="14">
        <v>0</v>
      </c>
      <c r="Y16" s="21">
        <v>0</v>
      </c>
      <c r="Z16" s="20">
        <f t="shared" si="3"/>
        <v>0</v>
      </c>
      <c r="AA16" s="14">
        <v>0</v>
      </c>
      <c r="AB16" s="14">
        <v>0</v>
      </c>
      <c r="AC16" s="14">
        <v>0</v>
      </c>
      <c r="AD16" s="21">
        <v>0</v>
      </c>
      <c r="AE16" s="14">
        <v>0</v>
      </c>
      <c r="AF16" s="20">
        <v>25.2</v>
      </c>
      <c r="AG16" s="14">
        <v>46</v>
      </c>
      <c r="AH16" s="14">
        <v>80</v>
      </c>
      <c r="AI16" s="14">
        <v>80</v>
      </c>
      <c r="AJ16" s="14">
        <v>62.04</v>
      </c>
      <c r="AK16" s="21">
        <f>S16-Z16-AE16-SUM(AF16:AJ16)</f>
        <v>0</v>
      </c>
      <c r="AL16" s="14">
        <v>8.7972000000000001</v>
      </c>
      <c r="AM16" s="14">
        <v>9.628262577079111</v>
      </c>
      <c r="AN16" s="14">
        <v>10.480655988475657</v>
      </c>
      <c r="AO16" s="14">
        <v>11.311381804005826</v>
      </c>
      <c r="AP16" s="138" t="s">
        <v>15</v>
      </c>
      <c r="AR16" s="118">
        <f t="shared" si="4"/>
        <v>0</v>
      </c>
      <c r="AS16" s="118">
        <f t="shared" si="5"/>
        <v>0</v>
      </c>
      <c r="AT16" s="118">
        <f t="shared" si="24"/>
        <v>0</v>
      </c>
      <c r="AU16" s="118">
        <f t="shared" si="7"/>
        <v>0</v>
      </c>
      <c r="AV16" s="118">
        <f t="shared" si="7"/>
        <v>0</v>
      </c>
      <c r="AW16" s="118">
        <f t="shared" si="7"/>
        <v>0</v>
      </c>
      <c r="AX16" s="118">
        <f t="shared" si="7"/>
        <v>0</v>
      </c>
      <c r="AY16" s="118">
        <f t="shared" si="8"/>
        <v>263.24</v>
      </c>
      <c r="AZ16" s="118">
        <f t="shared" si="9"/>
        <v>0</v>
      </c>
      <c r="BB16" s="119">
        <f t="shared" si="10"/>
        <v>0</v>
      </c>
      <c r="BC16" s="119">
        <f t="shared" si="26"/>
        <v>0</v>
      </c>
      <c r="BD16" s="119">
        <f t="shared" si="12"/>
        <v>0</v>
      </c>
      <c r="BE16" s="120">
        <f t="shared" si="13"/>
        <v>0</v>
      </c>
      <c r="BF16" s="120">
        <f t="shared" si="14"/>
        <v>0</v>
      </c>
      <c r="BG16" s="120">
        <f t="shared" si="25"/>
        <v>0</v>
      </c>
      <c r="BH16" s="120">
        <f t="shared" si="22"/>
        <v>263.24</v>
      </c>
      <c r="BJ16" s="119">
        <f t="shared" si="23"/>
        <v>0</v>
      </c>
      <c r="BK16" s="119">
        <f t="shared" si="17"/>
        <v>0</v>
      </c>
      <c r="BL16" s="119">
        <f t="shared" si="18"/>
        <v>0</v>
      </c>
      <c r="BM16" s="119">
        <f t="shared" si="19"/>
        <v>0</v>
      </c>
      <c r="BN16" s="119">
        <f t="shared" si="20"/>
        <v>0</v>
      </c>
      <c r="BO16" s="119">
        <f t="shared" si="21"/>
        <v>0</v>
      </c>
    </row>
    <row r="17" spans="4:67" ht="45" customHeight="1" x14ac:dyDescent="0.3">
      <c r="D17" s="4">
        <f t="shared" si="0"/>
        <v>14</v>
      </c>
      <c r="E17" s="15" t="s">
        <v>74</v>
      </c>
      <c r="F17" s="11" t="s">
        <v>58</v>
      </c>
      <c r="G17" s="16" t="s">
        <v>61</v>
      </c>
      <c r="H17" s="12" t="s">
        <v>14</v>
      </c>
      <c r="I17" s="12" t="s">
        <v>16</v>
      </c>
      <c r="J17" s="12" t="s">
        <v>17</v>
      </c>
      <c r="K17" s="116">
        <v>88.4</v>
      </c>
      <c r="L17" s="12" t="s">
        <v>18</v>
      </c>
      <c r="M17" s="12">
        <v>0</v>
      </c>
      <c r="N17" s="18" t="s">
        <v>75</v>
      </c>
      <c r="O17" s="11" t="s">
        <v>76</v>
      </c>
      <c r="P17" s="11" t="s">
        <v>77</v>
      </c>
      <c r="Q17" s="19" t="s">
        <v>78</v>
      </c>
      <c r="R17" s="135">
        <v>78.810999999999993</v>
      </c>
      <c r="S17" s="14">
        <f t="shared" si="1"/>
        <v>78.810999999999993</v>
      </c>
      <c r="T17" s="136">
        <f t="shared" si="2"/>
        <v>0</v>
      </c>
      <c r="U17" s="134">
        <f>S17/'Macro Var'!$F$4</f>
        <v>2.5822949643357754E-2</v>
      </c>
      <c r="V17" s="20">
        <v>7.9130000000000003</v>
      </c>
      <c r="W17" s="14">
        <v>35.448999999999998</v>
      </c>
      <c r="X17" s="14">
        <v>35.448999999999998</v>
      </c>
      <c r="Y17" s="21">
        <v>0</v>
      </c>
      <c r="Z17" s="20">
        <f t="shared" si="3"/>
        <v>0</v>
      </c>
      <c r="AA17" s="14">
        <v>0</v>
      </c>
      <c r="AB17" s="14">
        <v>0</v>
      </c>
      <c r="AC17" s="14">
        <v>0</v>
      </c>
      <c r="AD17" s="21">
        <v>0</v>
      </c>
      <c r="AE17" s="14">
        <v>0</v>
      </c>
      <c r="AF17" s="20">
        <v>0</v>
      </c>
      <c r="AG17" s="14">
        <v>5</v>
      </c>
      <c r="AH17" s="14">
        <v>57</v>
      </c>
      <c r="AI17" s="14">
        <v>0</v>
      </c>
      <c r="AJ17" s="14">
        <v>0</v>
      </c>
      <c r="AK17" s="21">
        <f>S17-Z17-AE17-SUM(AF17:AJ17)</f>
        <v>16.810999999999993</v>
      </c>
      <c r="AL17" s="14">
        <v>0</v>
      </c>
      <c r="AM17" s="14">
        <v>0</v>
      </c>
      <c r="AN17" s="14">
        <v>0</v>
      </c>
      <c r="AO17" s="14">
        <v>0</v>
      </c>
      <c r="AP17" s="138" t="s">
        <v>16</v>
      </c>
      <c r="AR17" s="118">
        <f t="shared" si="4"/>
        <v>0</v>
      </c>
      <c r="AS17" s="118">
        <f t="shared" si="5"/>
        <v>0</v>
      </c>
      <c r="AT17" s="118">
        <f t="shared" si="24"/>
        <v>0</v>
      </c>
      <c r="AU17" s="118">
        <f t="shared" si="7"/>
        <v>0.96488547191929741</v>
      </c>
      <c r="AV17" s="118">
        <f t="shared" si="7"/>
        <v>10.979760136574891</v>
      </c>
      <c r="AW17" s="118">
        <f t="shared" si="7"/>
        <v>10.979760136574891</v>
      </c>
      <c r="AX17" s="118">
        <f t="shared" si="7"/>
        <v>10.979760136574891</v>
      </c>
      <c r="AY17" s="118">
        <f t="shared" si="8"/>
        <v>70.897999999999996</v>
      </c>
      <c r="AZ17" s="118">
        <f t="shared" si="9"/>
        <v>0</v>
      </c>
      <c r="BB17" s="119">
        <f t="shared" si="10"/>
        <v>0</v>
      </c>
      <c r="BC17" s="119">
        <f t="shared" si="26"/>
        <v>0</v>
      </c>
      <c r="BD17" s="119">
        <f t="shared" si="12"/>
        <v>0.96488547191929741</v>
      </c>
      <c r="BE17" s="120">
        <f t="shared" si="13"/>
        <v>10.014874664655594</v>
      </c>
      <c r="BF17" s="120">
        <f t="shared" si="14"/>
        <v>0</v>
      </c>
      <c r="BG17" s="120">
        <f t="shared" si="25"/>
        <v>0</v>
      </c>
      <c r="BH17" s="120">
        <f t="shared" si="22"/>
        <v>59.918239863425107</v>
      </c>
      <c r="BJ17" s="119">
        <f t="shared" si="23"/>
        <v>0</v>
      </c>
      <c r="BK17" s="119">
        <f t="shared" si="17"/>
        <v>0</v>
      </c>
      <c r="BL17" s="119">
        <f t="shared" si="18"/>
        <v>1</v>
      </c>
      <c r="BM17" s="119">
        <f t="shared" si="19"/>
        <v>1</v>
      </c>
      <c r="BN17" s="119">
        <f t="shared" si="20"/>
        <v>0</v>
      </c>
      <c r="BO17" s="119">
        <f t="shared" si="21"/>
        <v>0</v>
      </c>
    </row>
    <row r="18" spans="4:67" ht="45" hidden="1" customHeight="1" x14ac:dyDescent="0.3">
      <c r="D18" s="4">
        <f t="shared" si="0"/>
        <v>15</v>
      </c>
      <c r="E18" s="15" t="s">
        <v>131</v>
      </c>
      <c r="F18" s="11" t="s">
        <v>58</v>
      </c>
      <c r="G18" s="16" t="s">
        <v>61</v>
      </c>
      <c r="H18" s="12" t="s">
        <v>14</v>
      </c>
      <c r="I18" s="12" t="s">
        <v>16</v>
      </c>
      <c r="J18" s="12" t="s">
        <v>17</v>
      </c>
      <c r="K18" s="116">
        <v>1358.6</v>
      </c>
      <c r="L18" s="12" t="s">
        <v>241</v>
      </c>
      <c r="M18" s="12" t="s">
        <v>107</v>
      </c>
      <c r="N18" s="18" t="s">
        <v>75</v>
      </c>
      <c r="O18" s="11" t="s">
        <v>132</v>
      </c>
      <c r="P18" s="11" t="s">
        <v>133</v>
      </c>
      <c r="Q18" s="19" t="s">
        <v>134</v>
      </c>
      <c r="R18" s="135">
        <v>223.724832214765</v>
      </c>
      <c r="S18" s="14">
        <f t="shared" si="1"/>
        <v>229.04999999999998</v>
      </c>
      <c r="T18" s="136">
        <f t="shared" si="2"/>
        <v>2.3802309884506156E-2</v>
      </c>
      <c r="U18" s="134">
        <f>S18/'Macro Var'!$F$4</f>
        <v>7.504975975195205E-2</v>
      </c>
      <c r="V18" s="20">
        <v>37.299999999999997</v>
      </c>
      <c r="W18" s="14">
        <v>72.7</v>
      </c>
      <c r="X18" s="14">
        <v>72.7</v>
      </c>
      <c r="Y18" s="21">
        <v>46.35</v>
      </c>
      <c r="Z18" s="20">
        <f t="shared" si="3"/>
        <v>106.8</v>
      </c>
      <c r="AA18" s="14">
        <v>8.3000000000000007</v>
      </c>
      <c r="AB18" s="14">
        <v>56</v>
      </c>
      <c r="AC18" s="14">
        <v>42.5</v>
      </c>
      <c r="AD18" s="21">
        <v>0</v>
      </c>
      <c r="AE18" s="14">
        <v>22</v>
      </c>
      <c r="AF18" s="20">
        <v>23.2</v>
      </c>
      <c r="AG18" s="14">
        <v>21.8</v>
      </c>
      <c r="AH18" s="14">
        <v>21.2</v>
      </c>
      <c r="AI18" s="14">
        <v>20.3</v>
      </c>
      <c r="AJ18" s="14">
        <v>13.75</v>
      </c>
      <c r="AK18" s="21">
        <f>ROUND(S18-Z18-AE18-SUM(AF18:AJ18),4)</f>
        <v>0</v>
      </c>
      <c r="AL18" s="14">
        <v>6.8714999999999993</v>
      </c>
      <c r="AM18" s="14">
        <v>7.5206436477969243</v>
      </c>
      <c r="AN18" s="14">
        <v>8.1864488274462861</v>
      </c>
      <c r="AO18" s="14">
        <v>8.8353294305263059</v>
      </c>
      <c r="AP18" s="138" t="s">
        <v>16</v>
      </c>
      <c r="AR18" s="118">
        <f t="shared" si="4"/>
        <v>98.5</v>
      </c>
      <c r="AS18" s="118">
        <f t="shared" si="5"/>
        <v>107.44600941759599</v>
      </c>
      <c r="AT18" s="118">
        <f t="shared" si="24"/>
        <v>111.2014664061293</v>
      </c>
      <c r="AU18" s="118">
        <f t="shared" si="7"/>
        <v>115.40836706369744</v>
      </c>
      <c r="AV18" s="118">
        <f t="shared" si="7"/>
        <v>119.13319764072725</v>
      </c>
      <c r="AW18" s="118">
        <f t="shared" si="7"/>
        <v>124.96448326771188</v>
      </c>
      <c r="AX18" s="118">
        <f t="shared" si="7"/>
        <v>130.0589722304627</v>
      </c>
      <c r="AY18" s="118">
        <f t="shared" si="8"/>
        <v>145.4</v>
      </c>
      <c r="AZ18" s="118">
        <f t="shared" si="9"/>
        <v>0</v>
      </c>
      <c r="BB18" s="119">
        <f t="shared" si="10"/>
        <v>8.9460094175959863</v>
      </c>
      <c r="BC18" s="119">
        <f t="shared" si="26"/>
        <v>3.75545698853331</v>
      </c>
      <c r="BD18" s="119">
        <f t="shared" si="12"/>
        <v>4.206900657568136</v>
      </c>
      <c r="BE18" s="120">
        <f t="shared" si="13"/>
        <v>3.7248305770297989</v>
      </c>
      <c r="BF18" s="120">
        <f t="shared" si="14"/>
        <v>5.8312856269846334</v>
      </c>
      <c r="BG18" s="120">
        <f t="shared" si="25"/>
        <v>5.0944889627508037</v>
      </c>
      <c r="BH18" s="120">
        <f t="shared" si="22"/>
        <v>15.341027769537305</v>
      </c>
      <c r="BJ18" s="119">
        <f t="shared" si="23"/>
        <v>1</v>
      </c>
      <c r="BK18" s="119">
        <f t="shared" si="17"/>
        <v>1</v>
      </c>
      <c r="BL18" s="119">
        <f t="shared" si="18"/>
        <v>1</v>
      </c>
      <c r="BM18" s="119">
        <f t="shared" si="19"/>
        <v>1</v>
      </c>
      <c r="BN18" s="119">
        <f t="shared" si="20"/>
        <v>1</v>
      </c>
      <c r="BO18" s="119">
        <f t="shared" si="21"/>
        <v>1</v>
      </c>
    </row>
    <row r="19" spans="4:67" ht="45" customHeight="1" x14ac:dyDescent="0.3">
      <c r="D19" s="4">
        <f t="shared" si="0"/>
        <v>16</v>
      </c>
      <c r="E19" s="15" t="s">
        <v>65</v>
      </c>
      <c r="F19" s="11" t="s">
        <v>58</v>
      </c>
      <c r="G19" s="16" t="s">
        <v>61</v>
      </c>
      <c r="H19" s="12" t="s">
        <v>14</v>
      </c>
      <c r="I19" s="12" t="s">
        <v>16</v>
      </c>
      <c r="J19" s="12" t="s">
        <v>17</v>
      </c>
      <c r="K19" s="116">
        <v>587.44000000000005</v>
      </c>
      <c r="L19" s="12" t="s">
        <v>18</v>
      </c>
      <c r="M19" s="13">
        <v>0</v>
      </c>
      <c r="N19" s="18" t="s">
        <v>66</v>
      </c>
      <c r="O19" s="11" t="s">
        <v>67</v>
      </c>
      <c r="P19" s="11" t="s">
        <v>68</v>
      </c>
      <c r="Q19" s="19" t="s">
        <v>69</v>
      </c>
      <c r="R19" s="135">
        <v>184.76</v>
      </c>
      <c r="S19" s="14">
        <f t="shared" si="1"/>
        <v>184.76</v>
      </c>
      <c r="T19" s="136">
        <f t="shared" si="2"/>
        <v>0</v>
      </c>
      <c r="U19" s="134">
        <f>S19/'Macro Var'!$F$4</f>
        <v>6.0537845936566956E-2</v>
      </c>
      <c r="V19" s="20">
        <f>27</f>
        <v>27</v>
      </c>
      <c r="W19" s="14">
        <v>78.88</v>
      </c>
      <c r="X19" s="14">
        <v>78.88</v>
      </c>
      <c r="Y19" s="21">
        <v>0</v>
      </c>
      <c r="Z19" s="20">
        <f t="shared" si="3"/>
        <v>0</v>
      </c>
      <c r="AA19" s="14">
        <v>0</v>
      </c>
      <c r="AB19" s="14">
        <v>0</v>
      </c>
      <c r="AC19" s="14">
        <v>0</v>
      </c>
      <c r="AD19" s="21">
        <v>0</v>
      </c>
      <c r="AE19" s="14">
        <v>0</v>
      </c>
      <c r="AF19" s="20">
        <v>12</v>
      </c>
      <c r="AG19" s="14">
        <v>31.5</v>
      </c>
      <c r="AH19" s="14">
        <v>48</v>
      </c>
      <c r="AI19" s="14">
        <v>54.76</v>
      </c>
      <c r="AJ19" s="14">
        <v>38.5</v>
      </c>
      <c r="AK19" s="21">
        <f>S19-Z19-AE19-SUM(AF19:AJ19)</f>
        <v>0</v>
      </c>
      <c r="AL19" s="14">
        <v>5.5427999999999997</v>
      </c>
      <c r="AM19" s="14">
        <v>6.0664227040688052</v>
      </c>
      <c r="AN19" s="14">
        <v>6.6034852013052872</v>
      </c>
      <c r="AO19" s="14">
        <v>7.1268957240080351</v>
      </c>
      <c r="AP19" s="138" t="s">
        <v>16</v>
      </c>
      <c r="AR19" s="118">
        <f t="shared" si="4"/>
        <v>0</v>
      </c>
      <c r="AS19" s="118">
        <f t="shared" si="5"/>
        <v>0</v>
      </c>
      <c r="AT19" s="118">
        <f t="shared" si="24"/>
        <v>1.9424777526896431</v>
      </c>
      <c r="AU19" s="118">
        <f t="shared" si="7"/>
        <v>8.0212562257812152</v>
      </c>
      <c r="AV19" s="118">
        <f t="shared" si="7"/>
        <v>16.454834890754348</v>
      </c>
      <c r="AW19" s="118">
        <f t="shared" si="7"/>
        <v>32.184943311132599</v>
      </c>
      <c r="AX19" s="118">
        <f t="shared" si="7"/>
        <v>46.449512406834849</v>
      </c>
      <c r="AY19" s="118">
        <f t="shared" si="8"/>
        <v>157.76</v>
      </c>
      <c r="AZ19" s="118">
        <f t="shared" si="9"/>
        <v>0</v>
      </c>
      <c r="BB19" s="119">
        <f t="shared" si="10"/>
        <v>0</v>
      </c>
      <c r="BC19" s="119">
        <f t="shared" si="26"/>
        <v>1.9424777526896431</v>
      </c>
      <c r="BD19" s="119">
        <f t="shared" si="12"/>
        <v>6.0787784730915728</v>
      </c>
      <c r="BE19" s="120">
        <f t="shared" si="13"/>
        <v>8.4335786649731315</v>
      </c>
      <c r="BF19" s="120">
        <f t="shared" si="14"/>
        <v>15.730108420378251</v>
      </c>
      <c r="BG19" s="120">
        <f t="shared" si="25"/>
        <v>14.26456909570225</v>
      </c>
      <c r="BH19" s="120">
        <f t="shared" si="22"/>
        <v>111.31048759316513</v>
      </c>
      <c r="BJ19" s="119">
        <f t="shared" ref="BJ19:BJ31" si="27">IF($AP19="No",0,IF(AE19=0,0,IF($W19+$X19-AR19=0,0,1)))</f>
        <v>0</v>
      </c>
      <c r="BK19" s="119">
        <f t="shared" si="17"/>
        <v>1</v>
      </c>
      <c r="BL19" s="119">
        <f t="shared" si="18"/>
        <v>1</v>
      </c>
      <c r="BM19" s="119">
        <f t="shared" si="19"/>
        <v>1</v>
      </c>
      <c r="BN19" s="119">
        <f t="shared" si="20"/>
        <v>1</v>
      </c>
      <c r="BO19" s="119">
        <f t="shared" si="21"/>
        <v>1</v>
      </c>
    </row>
    <row r="20" spans="4:67" ht="45" hidden="1" customHeight="1" x14ac:dyDescent="0.3">
      <c r="D20" s="4">
        <f t="shared" si="0"/>
        <v>17</v>
      </c>
      <c r="E20" s="15" t="s">
        <v>116</v>
      </c>
      <c r="F20" s="11" t="s">
        <v>58</v>
      </c>
      <c r="G20" s="16" t="s">
        <v>117</v>
      </c>
      <c r="H20" s="12" t="s">
        <v>14</v>
      </c>
      <c r="I20" s="12" t="s">
        <v>16</v>
      </c>
      <c r="J20" s="12" t="s">
        <v>17</v>
      </c>
      <c r="K20" s="116">
        <v>19456.099999999999</v>
      </c>
      <c r="L20" s="12" t="s">
        <v>241</v>
      </c>
      <c r="M20" s="13">
        <v>0.01</v>
      </c>
      <c r="N20" s="18" t="s">
        <v>59</v>
      </c>
      <c r="O20" s="11" t="s">
        <v>118</v>
      </c>
      <c r="P20" s="11" t="s">
        <v>119</v>
      </c>
      <c r="Q20" s="19" t="s">
        <v>120</v>
      </c>
      <c r="R20" s="135">
        <v>230.40889188123501</v>
      </c>
      <c r="S20" s="14">
        <f t="shared" si="1"/>
        <v>295.70293701391898</v>
      </c>
      <c r="T20" s="136">
        <f t="shared" si="2"/>
        <v>0.28338335643027168</v>
      </c>
      <c r="U20" s="134">
        <f>S20/'Macro Var'!$F$4</f>
        <v>9.6889038990793416E-2</v>
      </c>
      <c r="V20" s="20">
        <v>64.95</v>
      </c>
      <c r="W20" s="14">
        <v>87</v>
      </c>
      <c r="X20" s="14">
        <v>93.752937013918995</v>
      </c>
      <c r="Y20" s="21">
        <v>50</v>
      </c>
      <c r="Z20" s="20">
        <f t="shared" si="3"/>
        <v>132.79999999999998</v>
      </c>
      <c r="AA20" s="14">
        <v>12.8</v>
      </c>
      <c r="AB20" s="14">
        <v>50</v>
      </c>
      <c r="AC20" s="14">
        <v>57.3</v>
      </c>
      <c r="AD20" s="21">
        <v>12.7</v>
      </c>
      <c r="AE20" s="14">
        <v>22</v>
      </c>
      <c r="AF20" s="20">
        <v>25</v>
      </c>
      <c r="AG20" s="14">
        <v>25.3</v>
      </c>
      <c r="AH20" s="14">
        <v>27.3</v>
      </c>
      <c r="AI20" s="14">
        <v>30</v>
      </c>
      <c r="AJ20" s="14">
        <v>25.6</v>
      </c>
      <c r="AK20" s="21">
        <f>ROUND(S20-Z20-AE20-SUM(AF20:AJ20),4)</f>
        <v>7.7028999999999996</v>
      </c>
      <c r="AL20" s="14">
        <v>8.8710881104175687</v>
      </c>
      <c r="AM20" s="14">
        <v>9.7091308224781656</v>
      </c>
      <c r="AN20" s="14">
        <v>10.568683527570489</v>
      </c>
      <c r="AO20" s="14">
        <v>11.406386649605524</v>
      </c>
      <c r="AP20" s="138" t="s">
        <v>16</v>
      </c>
      <c r="AR20" s="118">
        <f t="shared" si="4"/>
        <v>107.3</v>
      </c>
      <c r="AS20" s="118">
        <f t="shared" si="5"/>
        <v>116.24600941759599</v>
      </c>
      <c r="AT20" s="118">
        <f t="shared" si="24"/>
        <v>120.29283806903274</v>
      </c>
      <c r="AU20" s="118">
        <f t="shared" ref="AU20:AU31" si="28">AT20+BD20</f>
        <v>125.17515855694438</v>
      </c>
      <c r="AV20" s="118">
        <f t="shared" ref="AV20:AV31" si="29">AU20+BE20</f>
        <v>129.97175642264784</v>
      </c>
      <c r="AW20" s="118">
        <f t="shared" ref="AW20:AW31" si="30">AV20+BF20</f>
        <v>138.58941991080246</v>
      </c>
      <c r="AX20" s="118">
        <f t="shared" ref="AX20:AX31" si="31">AW20+BG20</f>
        <v>148.07443208872397</v>
      </c>
      <c r="AY20" s="118">
        <f t="shared" si="8"/>
        <v>180.752937013919</v>
      </c>
      <c r="AZ20" s="118">
        <f t="shared" si="9"/>
        <v>0</v>
      </c>
      <c r="BB20" s="119">
        <f t="shared" si="10"/>
        <v>8.9460094175959863</v>
      </c>
      <c r="BC20" s="119">
        <f t="shared" si="26"/>
        <v>4.0468286514367566</v>
      </c>
      <c r="BD20" s="119">
        <f t="shared" si="12"/>
        <v>4.8823204879116444</v>
      </c>
      <c r="BE20" s="120">
        <f t="shared" si="13"/>
        <v>4.7965978657034682</v>
      </c>
      <c r="BF20" s="120">
        <f t="shared" si="14"/>
        <v>8.6176634881546299</v>
      </c>
      <c r="BG20" s="120">
        <f t="shared" si="25"/>
        <v>9.4850121779214973</v>
      </c>
      <c r="BH20" s="120">
        <f t="shared" si="22"/>
        <v>32.678504925195028</v>
      </c>
      <c r="BJ20" s="119">
        <f t="shared" si="27"/>
        <v>1</v>
      </c>
      <c r="BK20" s="119">
        <f t="shared" si="17"/>
        <v>1</v>
      </c>
      <c r="BL20" s="119">
        <f t="shared" si="18"/>
        <v>1</v>
      </c>
      <c r="BM20" s="119">
        <f t="shared" si="19"/>
        <v>1</v>
      </c>
      <c r="BN20" s="119">
        <f t="shared" si="20"/>
        <v>1</v>
      </c>
      <c r="BO20" s="119">
        <f t="shared" si="21"/>
        <v>1</v>
      </c>
    </row>
    <row r="21" spans="4:67" ht="45" hidden="1" customHeight="1" x14ac:dyDescent="0.3">
      <c r="D21" s="4">
        <f t="shared" si="0"/>
        <v>18</v>
      </c>
      <c r="E21" s="15" t="s">
        <v>143</v>
      </c>
      <c r="F21" s="11" t="s">
        <v>58</v>
      </c>
      <c r="G21" s="16" t="s">
        <v>61</v>
      </c>
      <c r="H21" s="12" t="s">
        <v>14</v>
      </c>
      <c r="I21" s="12" t="s">
        <v>16</v>
      </c>
      <c r="J21" s="12" t="s">
        <v>17</v>
      </c>
      <c r="K21" s="116">
        <v>1245</v>
      </c>
      <c r="L21" s="12" t="s">
        <v>241</v>
      </c>
      <c r="M21" s="12" t="s">
        <v>144</v>
      </c>
      <c r="N21" s="18" t="s">
        <v>66</v>
      </c>
      <c r="O21" s="11" t="s">
        <v>145</v>
      </c>
      <c r="P21" s="11" t="s">
        <v>146</v>
      </c>
      <c r="Q21" s="19" t="s">
        <v>147</v>
      </c>
      <c r="R21" s="135">
        <v>169.677419354839</v>
      </c>
      <c r="S21" s="14">
        <f t="shared" si="1"/>
        <v>173.2</v>
      </c>
      <c r="T21" s="136">
        <f t="shared" si="2"/>
        <v>2.076045627376244E-2</v>
      </c>
      <c r="U21" s="134">
        <f>S21/'Macro Var'!$F$4</f>
        <v>5.6750134857184442E-2</v>
      </c>
      <c r="V21" s="20">
        <v>80</v>
      </c>
      <c r="W21" s="14">
        <v>68</v>
      </c>
      <c r="X21" s="14">
        <v>0</v>
      </c>
      <c r="Y21" s="21">
        <v>25.2</v>
      </c>
      <c r="Z21" s="20">
        <f t="shared" si="3"/>
        <v>126</v>
      </c>
      <c r="AA21" s="14">
        <v>32.799999999999997</v>
      </c>
      <c r="AB21" s="14">
        <v>68</v>
      </c>
      <c r="AC21" s="14">
        <v>0</v>
      </c>
      <c r="AD21" s="21">
        <v>25.2</v>
      </c>
      <c r="AE21" s="14">
        <v>18</v>
      </c>
      <c r="AF21" s="20">
        <v>15</v>
      </c>
      <c r="AG21" s="14">
        <v>8</v>
      </c>
      <c r="AH21" s="14">
        <v>6.2</v>
      </c>
      <c r="AI21" s="14">
        <v>0</v>
      </c>
      <c r="AJ21" s="14">
        <v>0</v>
      </c>
      <c r="AK21" s="21">
        <f>ROUND(S21-Z21-AE21-SUM(AF21:AJ21),4)</f>
        <v>0</v>
      </c>
      <c r="AL21" s="14">
        <v>5.1959999999999997</v>
      </c>
      <c r="AM21" s="14">
        <v>5.6868608591941818</v>
      </c>
      <c r="AN21" s="14">
        <v>6.1903206152093295</v>
      </c>
      <c r="AO21" s="14">
        <v>6.6809825687280346</v>
      </c>
      <c r="AP21" s="138" t="s">
        <v>16</v>
      </c>
      <c r="AR21" s="118">
        <f t="shared" si="4"/>
        <v>68</v>
      </c>
      <c r="AS21" s="118">
        <f t="shared" si="5"/>
        <v>68</v>
      </c>
      <c r="AT21" s="118">
        <f t="shared" si="24"/>
        <v>68</v>
      </c>
      <c r="AU21" s="118">
        <f t="shared" si="28"/>
        <v>68</v>
      </c>
      <c r="AV21" s="118">
        <f t="shared" si="29"/>
        <v>68</v>
      </c>
      <c r="AW21" s="118">
        <f t="shared" si="30"/>
        <v>68</v>
      </c>
      <c r="AX21" s="118">
        <f t="shared" si="31"/>
        <v>68</v>
      </c>
      <c r="AY21" s="118">
        <f t="shared" si="8"/>
        <v>68</v>
      </c>
      <c r="AZ21" s="118">
        <f t="shared" si="9"/>
        <v>0</v>
      </c>
      <c r="BB21" s="119">
        <f t="shared" si="10"/>
        <v>0</v>
      </c>
      <c r="BC21" s="119">
        <f t="shared" si="26"/>
        <v>0</v>
      </c>
      <c r="BD21" s="119">
        <f t="shared" si="12"/>
        <v>0</v>
      </c>
      <c r="BE21" s="120">
        <f t="shared" si="13"/>
        <v>0</v>
      </c>
      <c r="BF21" s="120">
        <f t="shared" si="14"/>
        <v>0</v>
      </c>
      <c r="BG21" s="120">
        <f t="shared" si="25"/>
        <v>0</v>
      </c>
      <c r="BH21" s="120">
        <f t="shared" si="22"/>
        <v>0</v>
      </c>
      <c r="BJ21" s="119">
        <f t="shared" si="27"/>
        <v>0</v>
      </c>
      <c r="BK21" s="119">
        <f t="shared" si="17"/>
        <v>0</v>
      </c>
      <c r="BL21" s="119">
        <f t="shared" si="18"/>
        <v>0</v>
      </c>
      <c r="BM21" s="119">
        <f t="shared" si="19"/>
        <v>0</v>
      </c>
      <c r="BN21" s="119">
        <f t="shared" si="20"/>
        <v>0</v>
      </c>
      <c r="BO21" s="119">
        <f t="shared" si="21"/>
        <v>0</v>
      </c>
    </row>
    <row r="22" spans="4:67" ht="45" hidden="1" customHeight="1" x14ac:dyDescent="0.3">
      <c r="D22" s="4">
        <f t="shared" si="0"/>
        <v>19</v>
      </c>
      <c r="E22" s="15" t="s">
        <v>139</v>
      </c>
      <c r="F22" s="11" t="s">
        <v>58</v>
      </c>
      <c r="G22" s="16" t="s">
        <v>61</v>
      </c>
      <c r="H22" s="12" t="s">
        <v>14</v>
      </c>
      <c r="I22" s="12" t="s">
        <v>16</v>
      </c>
      <c r="J22" s="12" t="s">
        <v>17</v>
      </c>
      <c r="K22" s="116">
        <v>824.9</v>
      </c>
      <c r="L22" s="12" t="s">
        <v>241</v>
      </c>
      <c r="M22" s="12" t="s">
        <v>86</v>
      </c>
      <c r="N22" s="18" t="s">
        <v>66</v>
      </c>
      <c r="O22" s="11" t="s">
        <v>140</v>
      </c>
      <c r="P22" s="11" t="s">
        <v>141</v>
      </c>
      <c r="Q22" s="19" t="s">
        <v>142</v>
      </c>
      <c r="R22" s="135">
        <v>70.796460176991161</v>
      </c>
      <c r="S22" s="14">
        <f t="shared" si="1"/>
        <v>80</v>
      </c>
      <c r="T22" s="136">
        <f t="shared" si="2"/>
        <v>0.12999999999999989</v>
      </c>
      <c r="U22" s="134">
        <f>S22/'Macro Var'!$F$4</f>
        <v>2.6212533421332306E-2</v>
      </c>
      <c r="V22" s="20">
        <v>40</v>
      </c>
      <c r="W22" s="14">
        <v>40</v>
      </c>
      <c r="X22" s="14">
        <v>0</v>
      </c>
      <c r="Y22" s="21">
        <v>0</v>
      </c>
      <c r="Z22" s="20">
        <f t="shared" si="3"/>
        <v>50</v>
      </c>
      <c r="AA22" s="14">
        <v>10</v>
      </c>
      <c r="AB22" s="14">
        <v>40</v>
      </c>
      <c r="AC22" s="14">
        <v>0</v>
      </c>
      <c r="AD22" s="21">
        <v>0</v>
      </c>
      <c r="AE22" s="14">
        <v>16.5</v>
      </c>
      <c r="AF22" s="20">
        <v>6</v>
      </c>
      <c r="AG22" s="14">
        <v>6</v>
      </c>
      <c r="AH22" s="14">
        <v>1.5</v>
      </c>
      <c r="AI22" s="14">
        <v>0</v>
      </c>
      <c r="AJ22" s="14">
        <v>0</v>
      </c>
      <c r="AK22" s="21">
        <f>ROUND(S22-Z22-AE22-SUM(AF22:AJ22),4)</f>
        <v>0</v>
      </c>
      <c r="AL22" s="14">
        <v>2.4</v>
      </c>
      <c r="AM22" s="14">
        <v>2.6267255700665966</v>
      </c>
      <c r="AN22" s="14">
        <v>2.8592704920135472</v>
      </c>
      <c r="AO22" s="14">
        <v>3.0859041887889309</v>
      </c>
      <c r="AP22" s="138" t="s">
        <v>16</v>
      </c>
      <c r="AR22" s="118">
        <f t="shared" si="4"/>
        <v>40</v>
      </c>
      <c r="AS22" s="118">
        <f t="shared" si="5"/>
        <v>40</v>
      </c>
      <c r="AT22" s="118">
        <f t="shared" si="24"/>
        <v>40</v>
      </c>
      <c r="AU22" s="118">
        <f t="shared" si="28"/>
        <v>40</v>
      </c>
      <c r="AV22" s="118">
        <f t="shared" si="29"/>
        <v>40</v>
      </c>
      <c r="AW22" s="118">
        <f t="shared" si="30"/>
        <v>40</v>
      </c>
      <c r="AX22" s="118">
        <f t="shared" si="31"/>
        <v>40</v>
      </c>
      <c r="AY22" s="118">
        <f t="shared" si="8"/>
        <v>40</v>
      </c>
      <c r="AZ22" s="118">
        <f t="shared" si="9"/>
        <v>0</v>
      </c>
      <c r="BB22" s="119">
        <f t="shared" si="10"/>
        <v>0</v>
      </c>
      <c r="BC22" s="119">
        <f t="shared" si="26"/>
        <v>0</v>
      </c>
      <c r="BD22" s="119">
        <f t="shared" si="12"/>
        <v>0</v>
      </c>
      <c r="BE22" s="120">
        <f t="shared" si="13"/>
        <v>0</v>
      </c>
      <c r="BF22" s="120">
        <f t="shared" si="14"/>
        <v>0</v>
      </c>
      <c r="BG22" s="120">
        <f t="shared" si="25"/>
        <v>0</v>
      </c>
      <c r="BH22" s="120">
        <f t="shared" si="22"/>
        <v>0</v>
      </c>
      <c r="BJ22" s="119">
        <f t="shared" si="27"/>
        <v>0</v>
      </c>
      <c r="BK22" s="119">
        <f t="shared" si="17"/>
        <v>0</v>
      </c>
      <c r="BL22" s="119">
        <f t="shared" si="18"/>
        <v>0</v>
      </c>
      <c r="BM22" s="119">
        <f t="shared" si="19"/>
        <v>0</v>
      </c>
      <c r="BN22" s="119">
        <f t="shared" si="20"/>
        <v>0</v>
      </c>
      <c r="BO22" s="119">
        <f t="shared" si="21"/>
        <v>0</v>
      </c>
    </row>
    <row r="23" spans="4:67" ht="45" hidden="1" customHeight="1" x14ac:dyDescent="0.3">
      <c r="D23" s="4">
        <f t="shared" si="0"/>
        <v>20</v>
      </c>
      <c r="E23" s="15" t="s">
        <v>135</v>
      </c>
      <c r="F23" s="11" t="s">
        <v>58</v>
      </c>
      <c r="G23" s="16" t="s">
        <v>61</v>
      </c>
      <c r="H23" s="12" t="s">
        <v>14</v>
      </c>
      <c r="I23" s="12" t="s">
        <v>16</v>
      </c>
      <c r="J23" s="12" t="s">
        <v>17</v>
      </c>
      <c r="K23" s="116">
        <v>759.6</v>
      </c>
      <c r="L23" s="12" t="s">
        <v>241</v>
      </c>
      <c r="M23" s="12" t="s">
        <v>81</v>
      </c>
      <c r="N23" s="18" t="s">
        <v>66</v>
      </c>
      <c r="O23" s="11" t="s">
        <v>136</v>
      </c>
      <c r="P23" s="11" t="s">
        <v>137</v>
      </c>
      <c r="Q23" s="19" t="s">
        <v>138</v>
      </c>
      <c r="R23" s="135">
        <v>153.94</v>
      </c>
      <c r="S23" s="14">
        <f t="shared" si="1"/>
        <v>153.94</v>
      </c>
      <c r="T23" s="136">
        <f t="shared" si="2"/>
        <v>0</v>
      </c>
      <c r="U23" s="134">
        <f>S23/'Macro Var'!$F$4</f>
        <v>5.043946743599869E-2</v>
      </c>
      <c r="V23" s="20">
        <v>53.94</v>
      </c>
      <c r="W23" s="14">
        <v>80</v>
      </c>
      <c r="X23" s="14">
        <v>0</v>
      </c>
      <c r="Y23" s="21">
        <v>20</v>
      </c>
      <c r="Z23" s="20">
        <f t="shared" si="3"/>
        <v>48.5</v>
      </c>
      <c r="AA23" s="14">
        <v>28.5</v>
      </c>
      <c r="AB23" s="14">
        <v>10</v>
      </c>
      <c r="AC23" s="14">
        <v>0</v>
      </c>
      <c r="AD23" s="21">
        <v>10</v>
      </c>
      <c r="AE23" s="14">
        <v>40</v>
      </c>
      <c r="AF23" s="20">
        <v>22</v>
      </c>
      <c r="AG23" s="14">
        <v>15.44</v>
      </c>
      <c r="AH23" s="14">
        <v>12.56</v>
      </c>
      <c r="AI23" s="14">
        <v>6.44</v>
      </c>
      <c r="AJ23" s="14">
        <v>7</v>
      </c>
      <c r="AK23" s="21">
        <f>ROUND(S23-Z23-AE23-SUM(AF23:AJ23),4)</f>
        <v>2</v>
      </c>
      <c r="AL23" s="14">
        <v>1.5394000000000001</v>
      </c>
      <c r="AM23" s="14">
        <v>1.6848255594002164</v>
      </c>
      <c r="AN23" s="14">
        <v>1.8339837480856895</v>
      </c>
      <c r="AO23" s="14">
        <v>1.9793503784257001</v>
      </c>
      <c r="AP23" s="138" t="s">
        <v>16</v>
      </c>
      <c r="AR23" s="118">
        <f t="shared" si="4"/>
        <v>10</v>
      </c>
      <c r="AS23" s="118">
        <f t="shared" si="5"/>
        <v>26.265471668356337</v>
      </c>
      <c r="AT23" s="118">
        <f t="shared" si="24"/>
        <v>29.826680881620682</v>
      </c>
      <c r="AU23" s="118">
        <f t="shared" si="28"/>
        <v>32.806247218907473</v>
      </c>
      <c r="AV23" s="118">
        <f t="shared" si="29"/>
        <v>35.013033636242106</v>
      </c>
      <c r="AW23" s="118">
        <f t="shared" si="30"/>
        <v>36.862958731699301</v>
      </c>
      <c r="AX23" s="118">
        <f t="shared" si="31"/>
        <v>39.456516749099713</v>
      </c>
      <c r="AY23" s="118">
        <f t="shared" si="8"/>
        <v>80</v>
      </c>
      <c r="AZ23" s="118">
        <f t="shared" si="9"/>
        <v>0</v>
      </c>
      <c r="BB23" s="119">
        <f t="shared" si="10"/>
        <v>16.265471668356337</v>
      </c>
      <c r="BC23" s="119">
        <f t="shared" si="26"/>
        <v>3.5612092132643456</v>
      </c>
      <c r="BD23" s="119">
        <f t="shared" si="12"/>
        <v>2.9795663372867898</v>
      </c>
      <c r="BE23" s="120">
        <f t="shared" si="13"/>
        <v>2.2067864173346359</v>
      </c>
      <c r="BF23" s="120">
        <f t="shared" si="14"/>
        <v>1.849925095457194</v>
      </c>
      <c r="BG23" s="120">
        <f t="shared" si="25"/>
        <v>2.5935580174004094</v>
      </c>
      <c r="BH23" s="120">
        <f t="shared" si="22"/>
        <v>40.543483250900287</v>
      </c>
      <c r="BJ23" s="119">
        <f t="shared" si="27"/>
        <v>1</v>
      </c>
      <c r="BK23" s="119">
        <f t="shared" si="17"/>
        <v>1</v>
      </c>
      <c r="BL23" s="119">
        <f t="shared" si="18"/>
        <v>1</v>
      </c>
      <c r="BM23" s="119">
        <f t="shared" si="19"/>
        <v>1</v>
      </c>
      <c r="BN23" s="119">
        <f t="shared" si="20"/>
        <v>1</v>
      </c>
      <c r="BO23" s="119">
        <f t="shared" si="21"/>
        <v>1</v>
      </c>
    </row>
    <row r="24" spans="4:67" ht="45" hidden="1" customHeight="1" x14ac:dyDescent="0.3">
      <c r="D24" s="4">
        <f t="shared" si="0"/>
        <v>21</v>
      </c>
      <c r="E24" s="15" t="s">
        <v>121</v>
      </c>
      <c r="F24" s="11" t="s">
        <v>58</v>
      </c>
      <c r="G24" s="16" t="s">
        <v>61</v>
      </c>
      <c r="H24" s="12" t="s">
        <v>14</v>
      </c>
      <c r="I24" s="12" t="s">
        <v>16</v>
      </c>
      <c r="J24" s="12" t="s">
        <v>17</v>
      </c>
      <c r="K24" s="116">
        <v>45.9</v>
      </c>
      <c r="L24" s="12" t="s">
        <v>241</v>
      </c>
      <c r="M24" s="12" t="s">
        <v>122</v>
      </c>
      <c r="N24" s="18" t="s">
        <v>75</v>
      </c>
      <c r="O24" s="11" t="s">
        <v>123</v>
      </c>
      <c r="P24" s="11" t="s">
        <v>124</v>
      </c>
      <c r="Q24" s="19" t="s">
        <v>125</v>
      </c>
      <c r="R24" s="135">
        <v>7.3120567375886996</v>
      </c>
      <c r="S24" s="14">
        <f t="shared" si="1"/>
        <v>15.95</v>
      </c>
      <c r="T24" s="136">
        <f t="shared" si="2"/>
        <v>1.1813288069834971</v>
      </c>
      <c r="U24" s="134">
        <f>S24/'Macro Var'!$F$4</f>
        <v>5.2261238508781284E-3</v>
      </c>
      <c r="V24" s="20">
        <v>15.95</v>
      </c>
      <c r="W24" s="14">
        <v>0</v>
      </c>
      <c r="X24" s="14">
        <v>0</v>
      </c>
      <c r="Y24" s="21">
        <v>0</v>
      </c>
      <c r="Z24" s="20">
        <f t="shared" si="3"/>
        <v>10.6</v>
      </c>
      <c r="AA24" s="14">
        <v>10.6</v>
      </c>
      <c r="AB24" s="14">
        <v>0</v>
      </c>
      <c r="AC24" s="14">
        <v>0</v>
      </c>
      <c r="AD24" s="21">
        <v>0</v>
      </c>
      <c r="AE24" s="14">
        <v>2</v>
      </c>
      <c r="AF24" s="20">
        <v>3.35</v>
      </c>
      <c r="AG24" s="14">
        <v>0</v>
      </c>
      <c r="AH24" s="14">
        <v>0</v>
      </c>
      <c r="AI24" s="14">
        <v>0</v>
      </c>
      <c r="AJ24" s="14">
        <v>0</v>
      </c>
      <c r="AK24" s="21">
        <f>ROUND(S24-Z24-AE24-SUM(AF24:AJ24),4)</f>
        <v>0</v>
      </c>
      <c r="AL24" s="14">
        <v>0.47849999999999998</v>
      </c>
      <c r="AM24" s="14">
        <v>0.52370341053202774</v>
      </c>
      <c r="AN24" s="14">
        <v>0.570067054345201</v>
      </c>
      <c r="AO24" s="14">
        <v>0.61525214763979308</v>
      </c>
      <c r="AP24" s="138" t="s">
        <v>16</v>
      </c>
      <c r="AR24" s="118">
        <f t="shared" si="4"/>
        <v>0</v>
      </c>
      <c r="AS24" s="118">
        <f t="shared" si="5"/>
        <v>0</v>
      </c>
      <c r="AT24" s="118">
        <f t="shared" si="24"/>
        <v>0</v>
      </c>
      <c r="AU24" s="118">
        <f t="shared" si="28"/>
        <v>0</v>
      </c>
      <c r="AV24" s="118">
        <f t="shared" si="29"/>
        <v>0</v>
      </c>
      <c r="AW24" s="118">
        <f t="shared" si="30"/>
        <v>0</v>
      </c>
      <c r="AX24" s="118">
        <f t="shared" si="31"/>
        <v>0</v>
      </c>
      <c r="AY24" s="118">
        <f t="shared" si="8"/>
        <v>0</v>
      </c>
      <c r="AZ24" s="118">
        <f t="shared" si="9"/>
        <v>0</v>
      </c>
      <c r="BB24" s="119">
        <f t="shared" si="10"/>
        <v>0</v>
      </c>
      <c r="BC24" s="119">
        <f t="shared" si="26"/>
        <v>0</v>
      </c>
      <c r="BD24" s="119">
        <f t="shared" si="12"/>
        <v>0</v>
      </c>
      <c r="BE24" s="120">
        <f t="shared" si="13"/>
        <v>0</v>
      </c>
      <c r="BF24" s="120">
        <f t="shared" si="14"/>
        <v>0</v>
      </c>
      <c r="BG24" s="120">
        <f t="shared" si="25"/>
        <v>0</v>
      </c>
      <c r="BH24" s="120">
        <f t="shared" si="22"/>
        <v>0</v>
      </c>
      <c r="BJ24" s="119">
        <f t="shared" si="27"/>
        <v>0</v>
      </c>
      <c r="BK24" s="119">
        <f t="shared" si="17"/>
        <v>0</v>
      </c>
      <c r="BL24" s="119">
        <f t="shared" si="18"/>
        <v>0</v>
      </c>
      <c r="BM24" s="119">
        <f t="shared" si="19"/>
        <v>0</v>
      </c>
      <c r="BN24" s="119">
        <f t="shared" si="20"/>
        <v>0</v>
      </c>
      <c r="BO24" s="119">
        <f t="shared" si="21"/>
        <v>0</v>
      </c>
    </row>
    <row r="25" spans="4:67" ht="45" customHeight="1" x14ac:dyDescent="0.3">
      <c r="D25" s="4">
        <f t="shared" si="0"/>
        <v>22</v>
      </c>
      <c r="E25" s="15" t="s">
        <v>60</v>
      </c>
      <c r="F25" s="11" t="s">
        <v>58</v>
      </c>
      <c r="G25" s="16" t="s">
        <v>61</v>
      </c>
      <c r="H25" s="17" t="s">
        <v>14</v>
      </c>
      <c r="I25" s="12" t="s">
        <v>16</v>
      </c>
      <c r="J25" s="12" t="s">
        <v>17</v>
      </c>
      <c r="K25" s="116">
        <v>512.4</v>
      </c>
      <c r="L25" s="12" t="s">
        <v>18</v>
      </c>
      <c r="M25" s="12">
        <v>0</v>
      </c>
      <c r="N25" s="18" t="s">
        <v>59</v>
      </c>
      <c r="O25" s="11" t="s">
        <v>62</v>
      </c>
      <c r="P25" s="11" t="s">
        <v>63</v>
      </c>
      <c r="Q25" s="19" t="s">
        <v>64</v>
      </c>
      <c r="R25" s="135">
        <v>183.48000000000002</v>
      </c>
      <c r="S25" s="14">
        <f t="shared" si="1"/>
        <v>183.48000000000002</v>
      </c>
      <c r="T25" s="136">
        <f t="shared" si="2"/>
        <v>0</v>
      </c>
      <c r="U25" s="134">
        <f>S25/'Macro Var'!$F$4</f>
        <v>6.0118445401825649E-2</v>
      </c>
      <c r="V25" s="20">
        <v>23.48</v>
      </c>
      <c r="W25" s="14">
        <v>80</v>
      </c>
      <c r="X25" s="14">
        <v>80</v>
      </c>
      <c r="Y25" s="21">
        <v>0</v>
      </c>
      <c r="Z25" s="20">
        <f t="shared" si="3"/>
        <v>0</v>
      </c>
      <c r="AA25" s="14">
        <v>0</v>
      </c>
      <c r="AB25" s="14">
        <v>0</v>
      </c>
      <c r="AC25" s="14">
        <v>0</v>
      </c>
      <c r="AD25" s="21">
        <v>0</v>
      </c>
      <c r="AE25" s="14">
        <v>0</v>
      </c>
      <c r="AF25" s="20">
        <v>27</v>
      </c>
      <c r="AG25" s="14">
        <v>54.900000000000006</v>
      </c>
      <c r="AH25" s="14">
        <v>56</v>
      </c>
      <c r="AI25" s="14">
        <v>26.98</v>
      </c>
      <c r="AJ25" s="14">
        <v>18.600000000000001</v>
      </c>
      <c r="AK25" s="21">
        <f>S25-Z25-AE25-SUM(AF25:AJ25)</f>
        <v>0</v>
      </c>
      <c r="AL25" s="14">
        <v>5.5044000000000004</v>
      </c>
      <c r="AM25" s="14">
        <v>6.0243950949477405</v>
      </c>
      <c r="AN25" s="14">
        <v>6.5577368734330719</v>
      </c>
      <c r="AO25" s="14">
        <v>7.0775212569874144</v>
      </c>
      <c r="AP25" s="138" t="s">
        <v>16</v>
      </c>
      <c r="AR25" s="118">
        <f t="shared" si="4"/>
        <v>0</v>
      </c>
      <c r="AS25" s="118">
        <f t="shared" si="5"/>
        <v>0</v>
      </c>
      <c r="AT25" s="118">
        <f t="shared" si="24"/>
        <v>4.3705749435516967</v>
      </c>
      <c r="AU25" s="118">
        <f t="shared" si="28"/>
        <v>14.965017425225582</v>
      </c>
      <c r="AV25" s="118">
        <f t="shared" si="29"/>
        <v>24.804192534360901</v>
      </c>
      <c r="AW25" s="118">
        <f t="shared" si="30"/>
        <v>32.554344564707968</v>
      </c>
      <c r="AX25" s="118">
        <f t="shared" si="31"/>
        <v>39.445798725229054</v>
      </c>
      <c r="AY25" s="118">
        <f t="shared" si="8"/>
        <v>160</v>
      </c>
      <c r="AZ25" s="118">
        <f t="shared" si="9"/>
        <v>0</v>
      </c>
      <c r="BB25" s="119">
        <f t="shared" si="10"/>
        <v>0</v>
      </c>
      <c r="BC25" s="119">
        <f t="shared" si="26"/>
        <v>4.3705749435516967</v>
      </c>
      <c r="BD25" s="119">
        <f t="shared" si="12"/>
        <v>10.594442481673886</v>
      </c>
      <c r="BE25" s="120">
        <f t="shared" si="13"/>
        <v>9.8391751091353186</v>
      </c>
      <c r="BF25" s="120">
        <f t="shared" si="14"/>
        <v>7.7501520303470643</v>
      </c>
      <c r="BG25" s="120">
        <f t="shared" si="25"/>
        <v>6.8914541605210884</v>
      </c>
      <c r="BH25" s="120">
        <f t="shared" si="22"/>
        <v>120.55420127477095</v>
      </c>
      <c r="BJ25" s="119">
        <f t="shared" si="27"/>
        <v>0</v>
      </c>
      <c r="BK25" s="119">
        <f t="shared" si="17"/>
        <v>1</v>
      </c>
      <c r="BL25" s="119">
        <f t="shared" si="18"/>
        <v>1</v>
      </c>
      <c r="BM25" s="119">
        <f t="shared" si="19"/>
        <v>1</v>
      </c>
      <c r="BN25" s="119">
        <f t="shared" si="20"/>
        <v>1</v>
      </c>
      <c r="BO25" s="119">
        <f t="shared" si="21"/>
        <v>1</v>
      </c>
    </row>
    <row r="26" spans="4:67" ht="45" hidden="1" customHeight="1" x14ac:dyDescent="0.3">
      <c r="D26" s="4">
        <f t="shared" si="0"/>
        <v>23</v>
      </c>
      <c r="E26" s="15" t="s">
        <v>104</v>
      </c>
      <c r="F26" s="11" t="s">
        <v>46</v>
      </c>
      <c r="G26" s="16" t="s">
        <v>105</v>
      </c>
      <c r="H26" s="17" t="s">
        <v>14</v>
      </c>
      <c r="I26" s="12" t="s">
        <v>16</v>
      </c>
      <c r="J26" s="12" t="s">
        <v>19</v>
      </c>
      <c r="K26" s="116">
        <v>0.5</v>
      </c>
      <c r="L26" s="12" t="s">
        <v>241</v>
      </c>
      <c r="M26" s="12" t="s">
        <v>107</v>
      </c>
      <c r="N26" s="18" t="s">
        <v>106</v>
      </c>
      <c r="O26" s="11" t="s">
        <v>108</v>
      </c>
      <c r="P26" s="11" t="s">
        <v>109</v>
      </c>
      <c r="Q26" s="19" t="s">
        <v>110</v>
      </c>
      <c r="R26" s="135">
        <v>295.42372881355936</v>
      </c>
      <c r="S26" s="14">
        <f t="shared" si="1"/>
        <v>348.6</v>
      </c>
      <c r="T26" s="136">
        <f t="shared" si="2"/>
        <v>0.17999999999999994</v>
      </c>
      <c r="U26" s="134">
        <f>S26/'Macro Var'!$F$4</f>
        <v>0.11422111438345553</v>
      </c>
      <c r="V26" s="20">
        <v>25.6</v>
      </c>
      <c r="W26" s="14">
        <v>206.5</v>
      </c>
      <c r="X26" s="14">
        <v>86.4</v>
      </c>
      <c r="Y26" s="21">
        <v>30.1</v>
      </c>
      <c r="Z26" s="20">
        <f t="shared" si="3"/>
        <v>298.5</v>
      </c>
      <c r="AA26" s="14">
        <v>15.6</v>
      </c>
      <c r="AB26" s="14">
        <v>206.5</v>
      </c>
      <c r="AC26" s="14">
        <v>66.400000000000006</v>
      </c>
      <c r="AD26" s="14">
        <v>10</v>
      </c>
      <c r="AE26" s="90">
        <v>18</v>
      </c>
      <c r="AF26" s="20">
        <v>16</v>
      </c>
      <c r="AG26" s="14">
        <v>16.100000000000001</v>
      </c>
      <c r="AH26" s="14">
        <v>0</v>
      </c>
      <c r="AI26" s="14">
        <v>0</v>
      </c>
      <c r="AJ26" s="14">
        <v>0</v>
      </c>
      <c r="AK26" s="21">
        <f>ROUND(S26-Z26-AE26-SUM(AF26:AJ26),4)</f>
        <v>0</v>
      </c>
      <c r="AL26" s="14">
        <v>3.4860000000000002</v>
      </c>
      <c r="AM26" s="14">
        <v>3.8153188905217323</v>
      </c>
      <c r="AN26" s="14">
        <v>4.1530903896496785</v>
      </c>
      <c r="AO26" s="14">
        <v>4.4822758342159235</v>
      </c>
      <c r="AP26" s="138" t="s">
        <v>16</v>
      </c>
      <c r="AR26" s="118">
        <f t="shared" si="4"/>
        <v>272.89999999999998</v>
      </c>
      <c r="AS26" s="118">
        <f t="shared" si="5"/>
        <v>280.21946225076033</v>
      </c>
      <c r="AT26" s="118">
        <f t="shared" si="24"/>
        <v>282.80943258767985</v>
      </c>
      <c r="AU26" s="118">
        <f t="shared" si="28"/>
        <v>285.91636380725998</v>
      </c>
      <c r="AV26" s="118">
        <f t="shared" si="29"/>
        <v>285.91636380725998</v>
      </c>
      <c r="AW26" s="118">
        <f t="shared" si="30"/>
        <v>285.91636380725998</v>
      </c>
      <c r="AX26" s="118">
        <f t="shared" si="31"/>
        <v>285.91636380725998</v>
      </c>
      <c r="AY26" s="118">
        <f t="shared" si="8"/>
        <v>292.89999999999998</v>
      </c>
      <c r="AZ26" s="118">
        <f t="shared" si="9"/>
        <v>0</v>
      </c>
      <c r="BB26" s="119">
        <f t="shared" si="10"/>
        <v>7.3194622507603517</v>
      </c>
      <c r="BC26" s="119">
        <f t="shared" si="26"/>
        <v>2.5899703369195244</v>
      </c>
      <c r="BD26" s="119">
        <f t="shared" si="12"/>
        <v>3.1069312195801375</v>
      </c>
      <c r="BE26" s="120">
        <f t="shared" si="13"/>
        <v>0</v>
      </c>
      <c r="BF26" s="120">
        <f t="shared" si="14"/>
        <v>0</v>
      </c>
      <c r="BG26" s="120">
        <f t="shared" si="25"/>
        <v>0</v>
      </c>
      <c r="BH26" s="120">
        <f t="shared" si="22"/>
        <v>6.9836361927399935</v>
      </c>
      <c r="BJ26" s="119">
        <f t="shared" si="27"/>
        <v>1</v>
      </c>
      <c r="BK26" s="119">
        <f t="shared" si="17"/>
        <v>1</v>
      </c>
      <c r="BL26" s="119">
        <f t="shared" si="18"/>
        <v>1</v>
      </c>
      <c r="BM26" s="119">
        <f t="shared" si="19"/>
        <v>0</v>
      </c>
      <c r="BN26" s="119">
        <f t="shared" si="20"/>
        <v>0</v>
      </c>
      <c r="BO26" s="119">
        <f t="shared" si="21"/>
        <v>0</v>
      </c>
    </row>
    <row r="27" spans="4:67" ht="45" hidden="1" customHeight="1" x14ac:dyDescent="0.3">
      <c r="D27" s="4">
        <f t="shared" si="0"/>
        <v>24</v>
      </c>
      <c r="E27" s="15" t="s">
        <v>111</v>
      </c>
      <c r="F27" s="11" t="s">
        <v>46</v>
      </c>
      <c r="G27" s="16" t="s">
        <v>105</v>
      </c>
      <c r="H27" s="17" t="s">
        <v>14</v>
      </c>
      <c r="I27" s="12" t="s">
        <v>16</v>
      </c>
      <c r="J27" s="12" t="s">
        <v>17</v>
      </c>
      <c r="K27" s="116">
        <v>2168.1999999999998</v>
      </c>
      <c r="L27" s="12" t="s">
        <v>241</v>
      </c>
      <c r="M27" s="12" t="s">
        <v>112</v>
      </c>
      <c r="N27" s="18" t="s">
        <v>48</v>
      </c>
      <c r="O27" s="11" t="s">
        <v>113</v>
      </c>
      <c r="P27" s="11" t="s">
        <v>114</v>
      </c>
      <c r="Q27" s="19" t="s">
        <v>115</v>
      </c>
      <c r="R27" s="135">
        <v>276.37096774193498</v>
      </c>
      <c r="S27" s="14">
        <f t="shared" si="1"/>
        <v>441.90000000000003</v>
      </c>
      <c r="T27" s="136">
        <f t="shared" si="2"/>
        <v>0.5989378465129882</v>
      </c>
      <c r="U27" s="134">
        <f>S27/'Macro Var'!$F$4</f>
        <v>0.14479148148608434</v>
      </c>
      <c r="V27" s="20">
        <v>126.9</v>
      </c>
      <c r="W27" s="14">
        <v>194.8</v>
      </c>
      <c r="X27" s="14">
        <v>80.2</v>
      </c>
      <c r="Y27" s="21">
        <v>40</v>
      </c>
      <c r="Z27" s="20">
        <f t="shared" si="3"/>
        <v>253.58411320754698</v>
      </c>
      <c r="AA27" s="14">
        <v>17.766000000000002</v>
      </c>
      <c r="AB27" s="14">
        <v>155.81811320754699</v>
      </c>
      <c r="AC27" s="14">
        <v>40</v>
      </c>
      <c r="AD27" s="21">
        <v>40</v>
      </c>
      <c r="AE27" s="14">
        <v>20</v>
      </c>
      <c r="AF27" s="20">
        <v>20</v>
      </c>
      <c r="AG27" s="14">
        <v>20</v>
      </c>
      <c r="AH27" s="14">
        <v>20</v>
      </c>
      <c r="AI27" s="14">
        <v>20</v>
      </c>
      <c r="AJ27" s="14">
        <v>20</v>
      </c>
      <c r="AK27" s="21">
        <f>ROUND(S27-Z27-AE27-SUM(AF27:AJ27),4)</f>
        <v>68.315899999999999</v>
      </c>
      <c r="AL27" s="14">
        <v>4.4190000000000005</v>
      </c>
      <c r="AM27" s="14">
        <v>4.836458455885122</v>
      </c>
      <c r="AN27" s="14">
        <v>5.2646317934199445</v>
      </c>
      <c r="AO27" s="14">
        <v>5.6819210876076189</v>
      </c>
      <c r="AP27" s="138" t="s">
        <v>16</v>
      </c>
      <c r="AR27" s="118">
        <f t="shared" si="4"/>
        <v>195.81811320754699</v>
      </c>
      <c r="AS27" s="118">
        <f t="shared" si="5"/>
        <v>203.95084904172515</v>
      </c>
      <c r="AT27" s="118">
        <f t="shared" si="24"/>
        <v>207.18831196287456</v>
      </c>
      <c r="AU27" s="118">
        <f t="shared" si="28"/>
        <v>211.04785385055175</v>
      </c>
      <c r="AV27" s="118">
        <f t="shared" si="29"/>
        <v>214.56184496095722</v>
      </c>
      <c r="AW27" s="118">
        <f t="shared" si="30"/>
        <v>220.30695395306032</v>
      </c>
      <c r="AX27" s="118">
        <f t="shared" si="31"/>
        <v>227.71711971706148</v>
      </c>
      <c r="AY27" s="118">
        <f t="shared" si="8"/>
        <v>275</v>
      </c>
      <c r="AZ27" s="118">
        <f t="shared" si="9"/>
        <v>0</v>
      </c>
      <c r="BB27" s="119">
        <f t="shared" si="10"/>
        <v>8.1327358341781686</v>
      </c>
      <c r="BC27" s="119">
        <f t="shared" si="26"/>
        <v>3.2374629211494055</v>
      </c>
      <c r="BD27" s="119">
        <f t="shared" si="12"/>
        <v>3.8595418876771896</v>
      </c>
      <c r="BE27" s="120">
        <f t="shared" si="13"/>
        <v>3.5139911104054709</v>
      </c>
      <c r="BF27" s="120">
        <f t="shared" si="14"/>
        <v>5.745108992103086</v>
      </c>
      <c r="BG27" s="120">
        <f t="shared" si="25"/>
        <v>7.41016576400117</v>
      </c>
      <c r="BH27" s="120">
        <f t="shared" si="22"/>
        <v>47.282880282938521</v>
      </c>
      <c r="BJ27" s="119">
        <f t="shared" si="27"/>
        <v>1</v>
      </c>
      <c r="BK27" s="119">
        <f t="shared" si="17"/>
        <v>1</v>
      </c>
      <c r="BL27" s="119">
        <f t="shared" si="18"/>
        <v>1</v>
      </c>
      <c r="BM27" s="119">
        <f t="shared" si="19"/>
        <v>1</v>
      </c>
      <c r="BN27" s="119">
        <f t="shared" si="20"/>
        <v>1</v>
      </c>
      <c r="BO27" s="119">
        <f t="shared" si="21"/>
        <v>1</v>
      </c>
    </row>
    <row r="28" spans="4:67" ht="45" hidden="1" customHeight="1" x14ac:dyDescent="0.3">
      <c r="D28" s="4">
        <f t="shared" si="0"/>
        <v>25</v>
      </c>
      <c r="E28" s="15" t="s">
        <v>99</v>
      </c>
      <c r="F28" s="11" t="s">
        <v>46</v>
      </c>
      <c r="G28" s="16" t="s">
        <v>47</v>
      </c>
      <c r="H28" s="17" t="s">
        <v>14</v>
      </c>
      <c r="I28" s="12" t="s">
        <v>15</v>
      </c>
      <c r="J28" s="12" t="s">
        <v>19</v>
      </c>
      <c r="K28" s="116">
        <v>1.3</v>
      </c>
      <c r="L28" s="12" t="s">
        <v>241</v>
      </c>
      <c r="M28" s="12" t="s">
        <v>100</v>
      </c>
      <c r="N28" s="18" t="s">
        <v>48</v>
      </c>
      <c r="O28" s="11" t="s">
        <v>101</v>
      </c>
      <c r="P28" s="11" t="s">
        <v>102</v>
      </c>
      <c r="Q28" s="19" t="s">
        <v>103</v>
      </c>
      <c r="R28" s="135">
        <v>59.615384615384599</v>
      </c>
      <c r="S28" s="14">
        <f t="shared" si="1"/>
        <v>64.5</v>
      </c>
      <c r="T28" s="136">
        <f t="shared" si="2"/>
        <v>8.1935483870968051E-2</v>
      </c>
      <c r="U28" s="134">
        <f>S28/'Macro Var'!$F$4</f>
        <v>2.1133855070949174E-2</v>
      </c>
      <c r="V28" s="20">
        <v>15</v>
      </c>
      <c r="W28" s="14">
        <v>19</v>
      </c>
      <c r="X28" s="14">
        <v>20</v>
      </c>
      <c r="Y28" s="21">
        <v>10.5</v>
      </c>
      <c r="Z28" s="20">
        <f t="shared" si="3"/>
        <v>29</v>
      </c>
      <c r="AA28" s="14">
        <v>0</v>
      </c>
      <c r="AB28" s="14">
        <v>16.899999999999999</v>
      </c>
      <c r="AC28" s="14">
        <v>4.5999999999999996</v>
      </c>
      <c r="AD28" s="21">
        <v>7.5</v>
      </c>
      <c r="AE28" s="14">
        <v>24.3</v>
      </c>
      <c r="AF28" s="20">
        <v>5</v>
      </c>
      <c r="AG28" s="14">
        <v>6.2</v>
      </c>
      <c r="AH28" s="14">
        <v>0</v>
      </c>
      <c r="AI28" s="14">
        <v>0</v>
      </c>
      <c r="AJ28" s="14">
        <v>0</v>
      </c>
      <c r="AK28" s="21">
        <f>ROUND(S28-Z28-AE28-SUM(AF28:AJ28),4)</f>
        <v>0</v>
      </c>
      <c r="AL28" s="14">
        <v>0</v>
      </c>
      <c r="AM28" s="14">
        <v>0</v>
      </c>
      <c r="AN28" s="14">
        <v>0</v>
      </c>
      <c r="AO28" s="14">
        <v>0</v>
      </c>
      <c r="AP28" s="138" t="s">
        <v>16</v>
      </c>
      <c r="AR28" s="118">
        <f t="shared" si="4"/>
        <v>21.5</v>
      </c>
      <c r="AS28" s="118">
        <f t="shared" si="5"/>
        <v>31.381274038526477</v>
      </c>
      <c r="AT28" s="118">
        <f t="shared" si="24"/>
        <v>32.190639768813831</v>
      </c>
      <c r="AU28" s="118">
        <f t="shared" si="28"/>
        <v>33.387097753993757</v>
      </c>
      <c r="AV28" s="118">
        <f t="shared" si="29"/>
        <v>33.387097753993757</v>
      </c>
      <c r="AW28" s="118">
        <f t="shared" si="30"/>
        <v>33.387097753993757</v>
      </c>
      <c r="AX28" s="118">
        <f t="shared" si="31"/>
        <v>33.387097753993757</v>
      </c>
      <c r="AY28" s="118">
        <f t="shared" si="8"/>
        <v>39</v>
      </c>
      <c r="AZ28" s="118">
        <f t="shared" si="9"/>
        <v>0</v>
      </c>
      <c r="BB28" s="119">
        <f t="shared" si="10"/>
        <v>9.8812740385264757</v>
      </c>
      <c r="BC28" s="119">
        <f t="shared" si="26"/>
        <v>0.80936573028735137</v>
      </c>
      <c r="BD28" s="119">
        <f t="shared" si="12"/>
        <v>1.1964579851799289</v>
      </c>
      <c r="BE28" s="120">
        <f t="shared" si="13"/>
        <v>0</v>
      </c>
      <c r="BF28" s="120">
        <f t="shared" si="14"/>
        <v>0</v>
      </c>
      <c r="BG28" s="120">
        <f t="shared" si="25"/>
        <v>0</v>
      </c>
      <c r="BH28" s="120">
        <f t="shared" si="22"/>
        <v>5.612902246006243</v>
      </c>
      <c r="BJ28" s="119">
        <f t="shared" si="27"/>
        <v>1</v>
      </c>
      <c r="BK28" s="119">
        <f t="shared" si="17"/>
        <v>1</v>
      </c>
      <c r="BL28" s="119">
        <f t="shared" si="18"/>
        <v>1</v>
      </c>
      <c r="BM28" s="119">
        <f t="shared" si="19"/>
        <v>0</v>
      </c>
      <c r="BN28" s="119">
        <f t="shared" si="20"/>
        <v>0</v>
      </c>
      <c r="BO28" s="119">
        <f t="shared" si="21"/>
        <v>0</v>
      </c>
    </row>
    <row r="29" spans="4:67" ht="45" customHeight="1" x14ac:dyDescent="0.3">
      <c r="D29" s="4">
        <f t="shared" si="0"/>
        <v>26</v>
      </c>
      <c r="E29" s="15" t="s">
        <v>53</v>
      </c>
      <c r="F29" s="11" t="s">
        <v>46</v>
      </c>
      <c r="G29" s="16" t="s">
        <v>47</v>
      </c>
      <c r="H29" s="17" t="s">
        <v>14</v>
      </c>
      <c r="I29" s="12" t="s">
        <v>16</v>
      </c>
      <c r="J29" s="12" t="s">
        <v>17</v>
      </c>
      <c r="K29" s="116">
        <v>66.2</v>
      </c>
      <c r="L29" s="12" t="s">
        <v>18</v>
      </c>
      <c r="M29" s="13">
        <v>0</v>
      </c>
      <c r="N29" s="18" t="s">
        <v>48</v>
      </c>
      <c r="O29" s="11" t="s">
        <v>50</v>
      </c>
      <c r="P29" s="11" t="s">
        <v>54</v>
      </c>
      <c r="Q29" s="19" t="s">
        <v>52</v>
      </c>
      <c r="R29" s="135">
        <v>30</v>
      </c>
      <c r="S29" s="14">
        <f t="shared" si="1"/>
        <v>30</v>
      </c>
      <c r="T29" s="136">
        <f t="shared" si="2"/>
        <v>0</v>
      </c>
      <c r="U29" s="134">
        <f>S29/'Macro Var'!$F$4</f>
        <v>9.8297000329996154E-3</v>
      </c>
      <c r="V29" s="20">
        <v>12.3</v>
      </c>
      <c r="W29" s="14">
        <v>0</v>
      </c>
      <c r="X29" s="14">
        <v>10.7</v>
      </c>
      <c r="Y29" s="21">
        <v>7</v>
      </c>
      <c r="Z29" s="20">
        <f t="shared" si="3"/>
        <v>0</v>
      </c>
      <c r="AA29" s="14">
        <v>0</v>
      </c>
      <c r="AB29" s="14">
        <v>0</v>
      </c>
      <c r="AC29" s="14">
        <v>0</v>
      </c>
      <c r="AD29" s="21">
        <v>0</v>
      </c>
      <c r="AE29" s="14">
        <v>0</v>
      </c>
      <c r="AF29" s="20">
        <v>7</v>
      </c>
      <c r="AG29" s="14">
        <f>22.3-7</f>
        <v>15.3</v>
      </c>
      <c r="AH29" s="14">
        <v>7</v>
      </c>
      <c r="AI29" s="14">
        <v>0</v>
      </c>
      <c r="AJ29" s="14">
        <v>0</v>
      </c>
      <c r="AK29" s="21">
        <f>S29-Z29-AE29-SUM(AF29:AJ29)</f>
        <v>0.69999999999999929</v>
      </c>
      <c r="AL29" s="14">
        <v>0.3</v>
      </c>
      <c r="AM29" s="14">
        <v>0.32834069625832457</v>
      </c>
      <c r="AN29" s="14">
        <v>0.3574088115016934</v>
      </c>
      <c r="AO29" s="14">
        <v>0.38573802359861636</v>
      </c>
      <c r="AP29" s="138" t="s">
        <v>16</v>
      </c>
      <c r="AR29" s="118">
        <f t="shared" si="4"/>
        <v>0</v>
      </c>
      <c r="AS29" s="118">
        <f t="shared" si="5"/>
        <v>0</v>
      </c>
      <c r="AT29" s="118">
        <f t="shared" si="24"/>
        <v>1.1331120224022919</v>
      </c>
      <c r="AU29" s="118">
        <f t="shared" si="28"/>
        <v>4.0856615664753413</v>
      </c>
      <c r="AV29" s="118">
        <f t="shared" si="29"/>
        <v>5.3155584551172561</v>
      </c>
      <c r="AW29" s="118">
        <f t="shared" si="30"/>
        <v>5.3155584551172561</v>
      </c>
      <c r="AX29" s="118">
        <f t="shared" si="31"/>
        <v>5.3155584551172561</v>
      </c>
      <c r="AY29" s="118">
        <f t="shared" si="8"/>
        <v>10.7</v>
      </c>
      <c r="AZ29" s="118">
        <f t="shared" si="9"/>
        <v>0</v>
      </c>
      <c r="BB29" s="119">
        <f t="shared" si="10"/>
        <v>0</v>
      </c>
      <c r="BC29" s="119">
        <f t="shared" si="26"/>
        <v>1.1331120224022919</v>
      </c>
      <c r="BD29" s="119">
        <f t="shared" si="12"/>
        <v>2.9525495440730496</v>
      </c>
      <c r="BE29" s="120">
        <f t="shared" si="13"/>
        <v>1.2298968886419148</v>
      </c>
      <c r="BF29" s="120">
        <f t="shared" si="14"/>
        <v>0</v>
      </c>
      <c r="BG29" s="120">
        <f t="shared" si="25"/>
        <v>0</v>
      </c>
      <c r="BH29" s="120">
        <f t="shared" si="22"/>
        <v>5.3844415448827432</v>
      </c>
      <c r="BJ29" s="119">
        <f t="shared" si="27"/>
        <v>0</v>
      </c>
      <c r="BK29" s="119">
        <f t="shared" si="17"/>
        <v>1</v>
      </c>
      <c r="BL29" s="119">
        <f t="shared" si="18"/>
        <v>1</v>
      </c>
      <c r="BM29" s="119">
        <f t="shared" si="19"/>
        <v>1</v>
      </c>
      <c r="BN29" s="119">
        <f t="shared" si="20"/>
        <v>0</v>
      </c>
      <c r="BO29" s="119">
        <f t="shared" si="21"/>
        <v>0</v>
      </c>
    </row>
    <row r="30" spans="4:67" ht="45" customHeight="1" x14ac:dyDescent="0.3">
      <c r="D30" s="4">
        <f t="shared" si="0"/>
        <v>27</v>
      </c>
      <c r="E30" s="15" t="s">
        <v>49</v>
      </c>
      <c r="F30" s="11" t="s">
        <v>46</v>
      </c>
      <c r="G30" s="16" t="s">
        <v>47</v>
      </c>
      <c r="H30" s="17" t="s">
        <v>14</v>
      </c>
      <c r="I30" s="12" t="s">
        <v>15</v>
      </c>
      <c r="J30" s="12" t="s">
        <v>245</v>
      </c>
      <c r="K30" s="116" t="s">
        <v>245</v>
      </c>
      <c r="L30" s="12" t="s">
        <v>18</v>
      </c>
      <c r="M30" s="13">
        <v>0</v>
      </c>
      <c r="N30" s="18" t="s">
        <v>48</v>
      </c>
      <c r="O30" s="11" t="s">
        <v>50</v>
      </c>
      <c r="P30" s="11" t="s">
        <v>51</v>
      </c>
      <c r="Q30" s="19" t="s">
        <v>52</v>
      </c>
      <c r="R30" s="135">
        <v>29.85</v>
      </c>
      <c r="S30" s="14">
        <f t="shared" si="1"/>
        <v>29.85</v>
      </c>
      <c r="T30" s="136">
        <f t="shared" si="2"/>
        <v>0</v>
      </c>
      <c r="U30" s="134">
        <f>S30/'Macro Var'!$F$4</f>
        <v>9.7805515328346169E-3</v>
      </c>
      <c r="V30" s="20">
        <v>15.85</v>
      </c>
      <c r="W30" s="14">
        <v>14</v>
      </c>
      <c r="X30" s="14">
        <v>0</v>
      </c>
      <c r="Y30" s="21">
        <v>0</v>
      </c>
      <c r="Z30" s="20">
        <f t="shared" si="3"/>
        <v>0</v>
      </c>
      <c r="AA30" s="14">
        <v>0</v>
      </c>
      <c r="AB30" s="14">
        <v>0</v>
      </c>
      <c r="AC30" s="14">
        <v>0</v>
      </c>
      <c r="AD30" s="21">
        <v>0</v>
      </c>
      <c r="AE30" s="14">
        <v>0</v>
      </c>
      <c r="AF30" s="20">
        <v>14</v>
      </c>
      <c r="AG30" s="14">
        <v>15.85</v>
      </c>
      <c r="AH30" s="14">
        <v>0</v>
      </c>
      <c r="AI30" s="14">
        <v>0</v>
      </c>
      <c r="AJ30" s="14">
        <v>0</v>
      </c>
      <c r="AK30" s="21">
        <f>S30-Z30-AE30-SUM(AF30:AJ30)</f>
        <v>0</v>
      </c>
      <c r="AL30" s="14">
        <v>0.29850000000000004</v>
      </c>
      <c r="AM30" s="14">
        <v>0.32669899277703301</v>
      </c>
      <c r="AN30" s="14">
        <v>0.355621767444185</v>
      </c>
      <c r="AO30" s="14">
        <v>0.38380933348062335</v>
      </c>
      <c r="AP30" s="138" t="s">
        <v>15</v>
      </c>
      <c r="AR30" s="118">
        <f t="shared" si="4"/>
        <v>0</v>
      </c>
      <c r="AS30" s="118">
        <f t="shared" si="5"/>
        <v>0</v>
      </c>
      <c r="AT30" s="118">
        <f t="shared" si="24"/>
        <v>0</v>
      </c>
      <c r="AU30" s="118">
        <f t="shared" si="28"/>
        <v>0</v>
      </c>
      <c r="AV30" s="118">
        <f t="shared" si="29"/>
        <v>0</v>
      </c>
      <c r="AW30" s="118">
        <f t="shared" si="30"/>
        <v>0</v>
      </c>
      <c r="AX30" s="118">
        <f t="shared" si="31"/>
        <v>0</v>
      </c>
      <c r="AY30" s="118">
        <f t="shared" si="8"/>
        <v>14</v>
      </c>
      <c r="AZ30" s="118">
        <f t="shared" si="9"/>
        <v>0</v>
      </c>
      <c r="BB30" s="119">
        <f t="shared" si="10"/>
        <v>0</v>
      </c>
      <c r="BC30" s="119">
        <f t="shared" si="26"/>
        <v>0</v>
      </c>
      <c r="BD30" s="119">
        <f t="shared" si="12"/>
        <v>0</v>
      </c>
      <c r="BE30" s="120">
        <f t="shared" si="13"/>
        <v>0</v>
      </c>
      <c r="BF30" s="120">
        <f t="shared" si="14"/>
        <v>0</v>
      </c>
      <c r="BG30" s="120">
        <f t="shared" si="25"/>
        <v>0</v>
      </c>
      <c r="BH30" s="120">
        <f t="shared" si="22"/>
        <v>14</v>
      </c>
      <c r="BJ30" s="119">
        <f t="shared" si="27"/>
        <v>0</v>
      </c>
      <c r="BK30" s="119">
        <f t="shared" si="17"/>
        <v>0</v>
      </c>
      <c r="BL30" s="119">
        <f t="shared" si="18"/>
        <v>0</v>
      </c>
      <c r="BM30" s="119">
        <f t="shared" si="19"/>
        <v>0</v>
      </c>
      <c r="BN30" s="119">
        <f t="shared" si="20"/>
        <v>0</v>
      </c>
      <c r="BO30" s="119">
        <f t="shared" si="21"/>
        <v>0</v>
      </c>
    </row>
    <row r="31" spans="4:67" ht="45" customHeight="1" x14ac:dyDescent="0.3">
      <c r="D31" s="4">
        <f t="shared" si="0"/>
        <v>28</v>
      </c>
      <c r="E31" s="15" t="s">
        <v>55</v>
      </c>
      <c r="F31" s="11" t="s">
        <v>46</v>
      </c>
      <c r="G31" s="16" t="s">
        <v>47</v>
      </c>
      <c r="H31" s="17" t="s">
        <v>14</v>
      </c>
      <c r="I31" s="12" t="s">
        <v>16</v>
      </c>
      <c r="J31" s="12" t="s">
        <v>17</v>
      </c>
      <c r="K31" s="116">
        <v>101.1</v>
      </c>
      <c r="L31" s="12" t="s">
        <v>18</v>
      </c>
      <c r="M31" s="13">
        <v>0</v>
      </c>
      <c r="N31" s="18" t="s">
        <v>48</v>
      </c>
      <c r="O31" s="11" t="s">
        <v>50</v>
      </c>
      <c r="P31" s="11" t="s">
        <v>56</v>
      </c>
      <c r="Q31" s="19" t="s">
        <v>57</v>
      </c>
      <c r="R31" s="135">
        <v>29.75</v>
      </c>
      <c r="S31" s="14">
        <f t="shared" si="1"/>
        <v>29.75</v>
      </c>
      <c r="T31" s="136">
        <f t="shared" si="2"/>
        <v>0</v>
      </c>
      <c r="U31" s="134">
        <f>S31/'Macro Var'!$F$4</f>
        <v>9.7477858660579512E-3</v>
      </c>
      <c r="V31" s="20">
        <v>0</v>
      </c>
      <c r="W31" s="14">
        <v>20</v>
      </c>
      <c r="X31" s="14">
        <v>0</v>
      </c>
      <c r="Y31" s="21">
        <v>9.75</v>
      </c>
      <c r="Z31" s="20">
        <f t="shared" si="3"/>
        <v>0</v>
      </c>
      <c r="AA31" s="14">
        <v>0</v>
      </c>
      <c r="AB31" s="14">
        <v>0</v>
      </c>
      <c r="AC31" s="14">
        <v>0</v>
      </c>
      <c r="AD31" s="21">
        <v>0</v>
      </c>
      <c r="AE31" s="14">
        <v>0</v>
      </c>
      <c r="AF31" s="20">
        <v>7.2</v>
      </c>
      <c r="AG31" s="14">
        <f>22.8-7.45</f>
        <v>15.350000000000001</v>
      </c>
      <c r="AH31" s="14">
        <v>7.2</v>
      </c>
      <c r="AI31" s="14">
        <v>0</v>
      </c>
      <c r="AJ31" s="14">
        <v>0</v>
      </c>
      <c r="AK31" s="21">
        <f>S31-Z31-AE31-SUM(AF31:AJ31)</f>
        <v>0</v>
      </c>
      <c r="AL31" s="14">
        <v>0.29749999999999999</v>
      </c>
      <c r="AM31" s="14">
        <v>0.32560452378950522</v>
      </c>
      <c r="AN31" s="14">
        <v>0.35443040473917931</v>
      </c>
      <c r="AO31" s="14">
        <v>0.38252354006862788</v>
      </c>
      <c r="AP31" s="138" t="s">
        <v>16</v>
      </c>
      <c r="AR31" s="118">
        <f t="shared" si="4"/>
        <v>0</v>
      </c>
      <c r="AS31" s="118">
        <f t="shared" si="5"/>
        <v>0</v>
      </c>
      <c r="AT31" s="118">
        <f t="shared" si="24"/>
        <v>1.1654866516137858</v>
      </c>
      <c r="AU31" s="118">
        <f t="shared" si="28"/>
        <v>4.1276850504060292</v>
      </c>
      <c r="AV31" s="118">
        <f t="shared" si="29"/>
        <v>5.3927218501519985</v>
      </c>
      <c r="AW31" s="118">
        <f t="shared" si="30"/>
        <v>5.3927218501519985</v>
      </c>
      <c r="AX31" s="118">
        <f t="shared" si="31"/>
        <v>5.3927218501519985</v>
      </c>
      <c r="AY31" s="118">
        <f t="shared" si="8"/>
        <v>20</v>
      </c>
      <c r="AZ31" s="118">
        <f t="shared" si="9"/>
        <v>0</v>
      </c>
      <c r="BB31" s="119">
        <f t="shared" si="10"/>
        <v>0</v>
      </c>
      <c r="BC31" s="119">
        <f t="shared" si="26"/>
        <v>1.1654866516137858</v>
      </c>
      <c r="BD31" s="119">
        <f t="shared" si="12"/>
        <v>2.9621983987922431</v>
      </c>
      <c r="BE31" s="120">
        <f t="shared" si="13"/>
        <v>1.2650367997459697</v>
      </c>
      <c r="BF31" s="120">
        <f t="shared" si="14"/>
        <v>0</v>
      </c>
      <c r="BG31" s="120">
        <f t="shared" si="25"/>
        <v>0</v>
      </c>
      <c r="BH31" s="120">
        <f t="shared" si="22"/>
        <v>14.607278149848002</v>
      </c>
      <c r="BJ31" s="119">
        <f t="shared" si="27"/>
        <v>0</v>
      </c>
      <c r="BK31" s="119">
        <f t="shared" si="17"/>
        <v>1</v>
      </c>
      <c r="BL31" s="119">
        <f t="shared" si="18"/>
        <v>1</v>
      </c>
      <c r="BM31" s="119">
        <f t="shared" si="19"/>
        <v>1</v>
      </c>
      <c r="BN31" s="119">
        <f t="shared" si="20"/>
        <v>0</v>
      </c>
      <c r="BO31" s="119">
        <f t="shared" si="21"/>
        <v>0</v>
      </c>
    </row>
    <row r="32" spans="4:67" ht="45" customHeight="1" x14ac:dyDescent="0.3">
      <c r="D32" s="4"/>
      <c r="E32" s="5"/>
      <c r="F32" s="11"/>
      <c r="G32" s="86"/>
      <c r="H32" s="12"/>
      <c r="I32" s="12"/>
      <c r="J32" s="12"/>
      <c r="K32" s="12"/>
      <c r="L32" s="12"/>
      <c r="M32" s="13"/>
      <c r="N32" s="11"/>
      <c r="O32" s="11"/>
      <c r="P32" s="11"/>
      <c r="Q32" s="11"/>
      <c r="R32" s="11"/>
      <c r="S32" s="14"/>
      <c r="T32" s="11"/>
      <c r="U32" s="81"/>
      <c r="V32" s="14"/>
      <c r="W32" s="14"/>
      <c r="X32" s="14"/>
      <c r="Y32" s="14"/>
      <c r="Z32" s="14"/>
      <c r="AA32" s="14"/>
      <c r="AB32" s="14"/>
      <c r="AC32" s="14"/>
      <c r="AD32" s="14"/>
      <c r="AE32" s="14"/>
      <c r="AF32" s="14"/>
      <c r="AG32" s="14"/>
      <c r="AH32" s="14"/>
      <c r="AI32" s="14"/>
      <c r="AJ32" s="14"/>
      <c r="AK32" s="14"/>
      <c r="AL32" s="14"/>
      <c r="AM32" s="14"/>
      <c r="AN32" s="14"/>
      <c r="AO32" s="14"/>
    </row>
    <row r="33" spans="4:41" ht="45" customHeight="1" x14ac:dyDescent="0.3">
      <c r="D33" s="8"/>
      <c r="E33" s="6"/>
      <c r="F33" s="6"/>
      <c r="G33" s="6"/>
      <c r="H33" s="9"/>
      <c r="I33" s="6"/>
      <c r="J33" s="6"/>
      <c r="K33" s="6"/>
      <c r="L33" s="6"/>
      <c r="M33" s="6"/>
      <c r="N33" s="6"/>
      <c r="O33" s="6"/>
      <c r="P33" s="6"/>
      <c r="Q33" s="5"/>
      <c r="R33" s="5"/>
      <c r="S33" s="10">
        <f>SUBTOTAL(9,S4:S31)</f>
        <v>975.71100000000001</v>
      </c>
      <c r="T33" s="5"/>
      <c r="U33" s="82">
        <f>S33/'Macro Var'!F4</f>
        <v>0.31969821496326956</v>
      </c>
      <c r="V33" s="10">
        <f t="shared" ref="V33:AJ33" si="32">SUBTOTAL(9,V4:V31)</f>
        <v>149.483</v>
      </c>
      <c r="W33" s="10">
        <f t="shared" si="32"/>
        <v>550.56899999999996</v>
      </c>
      <c r="X33" s="10">
        <f t="shared" si="32"/>
        <v>238.029</v>
      </c>
      <c r="Y33" s="10">
        <f t="shared" si="32"/>
        <v>37.629999999999995</v>
      </c>
      <c r="Z33" s="10">
        <f t="shared" si="32"/>
        <v>0</v>
      </c>
      <c r="AA33" s="10">
        <f t="shared" si="32"/>
        <v>0</v>
      </c>
      <c r="AB33" s="10">
        <f t="shared" si="32"/>
        <v>0</v>
      </c>
      <c r="AC33" s="10">
        <f t="shared" si="32"/>
        <v>0</v>
      </c>
      <c r="AD33" s="10">
        <f t="shared" si="32"/>
        <v>0</v>
      </c>
      <c r="AE33" s="10">
        <f t="shared" si="32"/>
        <v>0</v>
      </c>
      <c r="AF33" s="10">
        <f t="shared" si="32"/>
        <v>140.82999999999998</v>
      </c>
      <c r="AG33" s="10">
        <f t="shared" si="32"/>
        <v>229.96</v>
      </c>
      <c r="AH33" s="10">
        <f t="shared" si="32"/>
        <v>292.70999999999998</v>
      </c>
      <c r="AI33" s="10">
        <f t="shared" si="32"/>
        <v>172.85999999999999</v>
      </c>
      <c r="AJ33" s="10">
        <f t="shared" si="32"/>
        <v>119.13999999999999</v>
      </c>
      <c r="AK33" s="10">
        <f>S33-SUM(AA33:AJ33)</f>
        <v>20.211000000000013</v>
      </c>
      <c r="AL33" s="7">
        <f>SUBTOTAL(9,AL4:AL31)</f>
        <v>21.407299999999999</v>
      </c>
      <c r="AM33" s="7">
        <f>SUBTOTAL(9,AM4:AM31)</f>
        <v>23.429625956702775</v>
      </c>
      <c r="AN33" s="7">
        <f>SUBTOTAL(9,AN4:AN31)</f>
        <v>25.503858834867337</v>
      </c>
      <c r="AO33" s="7">
        <f>SUBTOTAL(9,AO4:AO31)</f>
        <v>27.525365308608869</v>
      </c>
    </row>
    <row r="34" spans="4:41" x14ac:dyDescent="0.3">
      <c r="E34" s="2"/>
      <c r="G34" s="2"/>
      <c r="N34" s="2"/>
      <c r="Q34" s="2"/>
      <c r="R34" s="2"/>
      <c r="T34" s="2"/>
      <c r="V34" s="84">
        <f>V33/'Macro Var'!$F$4</f>
        <v>4.8979101667762717E-2</v>
      </c>
      <c r="W34" s="84">
        <f>W33/'Macro Var'!$F$4</f>
        <v>0.18039760391561882</v>
      </c>
      <c r="X34" s="84">
        <f>X33/'Macro Var'!$F$4</f>
        <v>7.7991788971828846E-2</v>
      </c>
      <c r="Y34" s="85">
        <f>Y33/'Macro Var'!$F$4</f>
        <v>1.2329720408059183E-2</v>
      </c>
      <c r="Z34" s="85">
        <f>Z33/'Macro Var'!$F$4</f>
        <v>0</v>
      </c>
      <c r="AA34" s="85">
        <f>AA33/'Macro Var'!$F$4</f>
        <v>0</v>
      </c>
      <c r="AB34" s="85">
        <f>AB33/'Macro Var'!$F$4</f>
        <v>0</v>
      </c>
      <c r="AC34" s="85">
        <f>AC33/'Macro Var'!$F$4</f>
        <v>0</v>
      </c>
      <c r="AD34" s="85">
        <f>AD33/'Macro Var'!$F$4</f>
        <v>0</v>
      </c>
      <c r="AF34" s="85"/>
      <c r="AG34" s="85"/>
      <c r="AH34" s="85"/>
      <c r="AI34" s="85"/>
      <c r="AJ34" s="85"/>
      <c r="AK34" s="85"/>
    </row>
    <row r="35" spans="4:41" x14ac:dyDescent="0.3">
      <c r="E35" s="2"/>
      <c r="G35" s="2"/>
      <c r="N35" s="2"/>
      <c r="Q35" s="2"/>
      <c r="R35" s="2"/>
      <c r="T35" s="2"/>
      <c r="Y35" s="2"/>
      <c r="Z35" s="2"/>
    </row>
    <row r="36" spans="4:41" x14ac:dyDescent="0.3">
      <c r="E36" s="2"/>
      <c r="G36" s="2"/>
      <c r="N36" s="2"/>
      <c r="Q36" s="2"/>
      <c r="R36" s="2"/>
      <c r="T36" s="2"/>
      <c r="Y36" s="2"/>
      <c r="Z36" s="2"/>
    </row>
    <row r="37" spans="4:41" x14ac:dyDescent="0.3">
      <c r="E37" s="2"/>
      <c r="G37" s="2"/>
      <c r="N37" s="2"/>
      <c r="Q37" s="2"/>
      <c r="R37" s="2"/>
      <c r="T37" s="2"/>
      <c r="V37" s="2"/>
      <c r="W37" s="83"/>
      <c r="Y37" s="2"/>
      <c r="Z37" s="2"/>
      <c r="AA37" s="83"/>
      <c r="AB37" s="83"/>
    </row>
    <row r="38" spans="4:41" x14ac:dyDescent="0.3">
      <c r="V38" s="2"/>
      <c r="W38" s="83"/>
      <c r="AB38" s="83"/>
    </row>
    <row r="39" spans="4:41" x14ac:dyDescent="0.3">
      <c r="V39" s="2"/>
      <c r="W39" s="83"/>
    </row>
    <row r="40" spans="4:41" x14ac:dyDescent="0.3">
      <c r="V40" s="2"/>
      <c r="W40" s="23"/>
    </row>
    <row r="41" spans="4:41" x14ac:dyDescent="0.3">
      <c r="W41" s="23"/>
    </row>
  </sheetData>
  <sheetProtection selectLockedCells="1"/>
  <autoFilter ref="D3:AP31" xr:uid="{7A473E28-FCC6-4D7B-95E7-37FA238A7FA3}">
    <filterColumn colId="8">
      <filters>
        <filter val="New"/>
      </filters>
    </filterColumn>
  </autoFilter>
  <conditionalFormatting sqref="AK4:AK32">
    <cfRule type="cellIs" dxfId="4" priority="8" operator="lessThan">
      <formula>0</formula>
    </cfRule>
  </conditionalFormatting>
  <conditionalFormatting sqref="AA33:AB33 AD33 AA4:AD32">
    <cfRule type="cellIs" dxfId="3" priority="6" operator="greaterThan">
      <formula>V4</formula>
    </cfRule>
  </conditionalFormatting>
  <conditionalFormatting sqref="AC33">
    <cfRule type="cellIs" dxfId="2" priority="5" operator="greaterThan">
      <formula>X33</formula>
    </cfRule>
  </conditionalFormatting>
  <conditionalFormatting sqref="AR4:AX31">
    <cfRule type="expression" dxfId="1" priority="2">
      <formula>AR4&gt;$W4+$X4</formula>
    </cfRule>
  </conditionalFormatting>
  <conditionalFormatting sqref="AY4">
    <cfRule type="expression" dxfId="0" priority="1">
      <formula>AY4&gt;$W4+$X4</formula>
    </cfRule>
  </conditionalFormatting>
  <dataValidations count="1">
    <dataValidation type="list" allowBlank="1" showInputMessage="1" showErrorMessage="1" sqref="AP4:AP31" xr:uid="{3491B9F7-38CB-46ED-85E3-170437C8E6B3}">
      <formula1>"Yes, No"</formula1>
    </dataValidation>
  </dataValidation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29FCF-BF66-4DEE-8DB1-A63C50B9E911}">
  <dimension ref="B2:K73"/>
  <sheetViews>
    <sheetView showGridLines="0" tabSelected="1" zoomScale="80" zoomScaleNormal="80" workbookViewId="0">
      <selection activeCell="M19" sqref="M19"/>
    </sheetView>
  </sheetViews>
  <sheetFormatPr defaultRowHeight="14.5" x14ac:dyDescent="0.35"/>
  <cols>
    <col min="1" max="1" width="4.6328125" customWidth="1"/>
    <col min="2" max="2" width="30.36328125" bestFit="1" customWidth="1"/>
    <col min="3" max="3" width="17.453125" customWidth="1"/>
    <col min="4" max="4" width="14" bestFit="1" customWidth="1"/>
    <col min="5" max="9" width="8.54296875" customWidth="1"/>
    <col min="12" max="12" width="4" customWidth="1"/>
  </cols>
  <sheetData>
    <row r="2" spans="2:11" x14ac:dyDescent="0.35">
      <c r="B2" s="101"/>
      <c r="C2" s="100" t="s">
        <v>160</v>
      </c>
      <c r="D2" s="101" t="s">
        <v>239</v>
      </c>
      <c r="E2" s="101">
        <v>2016</v>
      </c>
      <c r="F2" s="100">
        <v>2017</v>
      </c>
      <c r="G2" s="100">
        <f t="shared" ref="G2:J2" si="0">F2+1</f>
        <v>2018</v>
      </c>
      <c r="H2" s="100">
        <f t="shared" si="0"/>
        <v>2019</v>
      </c>
      <c r="I2" s="100">
        <f t="shared" si="0"/>
        <v>2020</v>
      </c>
      <c r="J2" s="100">
        <f t="shared" si="0"/>
        <v>2021</v>
      </c>
      <c r="K2" s="100" t="s">
        <v>246</v>
      </c>
    </row>
    <row r="3" spans="2:11" x14ac:dyDescent="0.35">
      <c r="B3" s="89" t="s">
        <v>238</v>
      </c>
      <c r="C3" s="89"/>
      <c r="D3" s="98">
        <v>0</v>
      </c>
      <c r="E3" s="99">
        <f>'Macro Var'!F17</f>
        <v>244.2</v>
      </c>
      <c r="F3" s="99">
        <f>'Macro Var'!G17</f>
        <v>255.34157949263241</v>
      </c>
      <c r="G3" s="99">
        <f>'Macro Var'!H17</f>
        <v>285.18408173146395</v>
      </c>
      <c r="H3" s="99">
        <f>'Macro Var'!I17</f>
        <v>311.55716229963207</v>
      </c>
      <c r="I3" s="99">
        <f>'Macro Var'!J17</f>
        <v>342.24346096018985</v>
      </c>
      <c r="J3" s="99">
        <f>'Macro Var'!K17</f>
        <v>434.26742403946156</v>
      </c>
    </row>
    <row r="4" spans="2:11" ht="4.5" customHeight="1" x14ac:dyDescent="0.35">
      <c r="F4" s="88"/>
      <c r="G4" s="88"/>
      <c r="H4" s="88"/>
      <c r="I4" s="88"/>
      <c r="J4" s="88"/>
    </row>
    <row r="5" spans="2:11" x14ac:dyDescent="0.35">
      <c r="B5" s="91" t="s">
        <v>241</v>
      </c>
      <c r="C5" s="93">
        <f t="shared" ref="C5:F5" si="1">SUM(C6:C10)</f>
        <v>2350.8429370139193</v>
      </c>
      <c r="D5" s="93">
        <f t="shared" si="1"/>
        <v>1386.9841132075471</v>
      </c>
      <c r="E5" s="93">
        <f t="shared" si="1"/>
        <v>244.2</v>
      </c>
      <c r="F5" s="93">
        <f t="shared" si="1"/>
        <v>188.15</v>
      </c>
      <c r="G5" s="93">
        <f t="shared" ref="G5:J5" si="2">SUM(G6:G10)</f>
        <v>153.13999999999999</v>
      </c>
      <c r="H5" s="93">
        <f t="shared" si="2"/>
        <v>112.76</v>
      </c>
      <c r="I5" s="93">
        <f t="shared" si="2"/>
        <v>101.74</v>
      </c>
      <c r="J5" s="93">
        <f t="shared" si="2"/>
        <v>85.85</v>
      </c>
    </row>
    <row r="6" spans="2:11" x14ac:dyDescent="0.35">
      <c r="B6" s="87" t="s">
        <v>13</v>
      </c>
      <c r="C6" s="88">
        <f>SUMIFS('The PIP portfolio'!S$4:S$32,'The PIP portfolio'!$AP$4:$AP$32,"Yes",'The PIP portfolio'!$L$4:$L$32,$B$5,'The PIP portfolio'!$F$4:$F$32,'Simulation of 2017 MTEF'!$B6)</f>
        <v>35</v>
      </c>
      <c r="D6" s="88">
        <f>+SUMIFS('The PIP portfolio'!$Z$4:$Z$32,'The PIP portfolio'!$AP$4:$AP$32,"Yes",'The PIP portfolio'!$L$4:$L$32,$B$5,'The PIP portfolio'!$F$4:$F$32,'Simulation of 2017 MTEF'!$B6)</f>
        <v>30</v>
      </c>
      <c r="E6" s="88">
        <f>SUMIFS('The PIP portfolio'!$AE$4:$AE$32,'The PIP portfolio'!$AP$4:$AP$32,"Yes",'The PIP portfolio'!$L$4:$L$32,$B$5,'The PIP portfolio'!$F$4:$F$32,'Simulation of 2017 MTEF'!$B6)</f>
        <v>3.4</v>
      </c>
      <c r="F6" s="88">
        <f>SUMIFS('The PIP portfolio'!AF$4:AF$32,'The PIP portfolio'!$AP$4:$AP$32,"Yes",'The PIP portfolio'!$L$4:$L$32,$B$5,'The PIP portfolio'!$F$4:$F$32,'Simulation of 2017 MTEF'!$B6)</f>
        <v>1.6</v>
      </c>
      <c r="G6" s="88">
        <f>SUMIFS('The PIP portfolio'!AG$4:AG$32,'The PIP portfolio'!$AP$4:$AP$32,"Yes",'The PIP portfolio'!$L$4:$L$32,$B$5,'The PIP portfolio'!$F$4:$F$32,'Simulation of 2017 MTEF'!$B6)</f>
        <v>0</v>
      </c>
      <c r="H6" s="88">
        <f>SUMIFS('The PIP portfolio'!AH$4:AH$32,'The PIP portfolio'!$AP$4:$AP$32,"Yes",'The PIP portfolio'!$L$4:$L$32,$B$5,'The PIP portfolio'!$F$4:$F$32,'Simulation of 2017 MTEF'!$B6)</f>
        <v>0</v>
      </c>
      <c r="I6" s="88">
        <f>SUMIFS('The PIP portfolio'!AI$4:AI$32,'The PIP portfolio'!$AP$4:$AP$32,"Yes",'The PIP portfolio'!$L$4:$L$32,$B$5,'The PIP portfolio'!$F$4:$F$32,'Simulation of 2017 MTEF'!$B6)</f>
        <v>0</v>
      </c>
      <c r="J6" s="88">
        <f>SUMIFS('The PIP portfolio'!AJ$4:AJ$32,'The PIP portfolio'!$AP$4:$AP$32,"Yes",'The PIP portfolio'!$L$4:$L$32,$B$5,'The PIP portfolio'!$F$4:$F$32,'Simulation of 2017 MTEF'!$B6)</f>
        <v>0</v>
      </c>
    </row>
    <row r="7" spans="2:11" x14ac:dyDescent="0.35">
      <c r="B7" s="87" t="s">
        <v>20</v>
      </c>
      <c r="C7" s="88">
        <f>SUMIFS('The PIP portfolio'!S$4:S$32,'The PIP portfolio'!$AP$4:$AP$32,"Yes",'The PIP portfolio'!$L$4:$L$32,$B$5,'The PIP portfolio'!$F$4:$F$32,'Simulation of 2017 MTEF'!$B7)</f>
        <v>41.5</v>
      </c>
      <c r="D7" s="88">
        <f>+SUMIFS('The PIP portfolio'!$Z$4:$Z$32,'The PIP portfolio'!$AP$4:$AP$32,"Yes",'The PIP portfolio'!$L$4:$L$32,$B$5,'The PIP portfolio'!$F$4:$F$32,'Simulation of 2017 MTEF'!$B7)</f>
        <v>23.7</v>
      </c>
      <c r="E7" s="88">
        <f>SUMIFS('The PIP portfolio'!$AE$4:$AE$32,'The PIP portfolio'!$AP$4:$AP$32,"Yes",'The PIP portfolio'!$L$4:$L$32,$B$5,'The PIP portfolio'!$F$4:$F$32,'Simulation of 2017 MTEF'!$B7)</f>
        <v>10</v>
      </c>
      <c r="F7" s="88">
        <f>SUMIFS('The PIP portfolio'!AF$4:AF$32,'The PIP portfolio'!$AP$4:$AP$32,"Yes",'The PIP portfolio'!$L$4:$L$32,$B$5,'The PIP portfolio'!$F$4:$F$32,'Simulation of 2017 MTEF'!$B7)</f>
        <v>6</v>
      </c>
      <c r="G7" s="88">
        <f>SUMIFS('The PIP portfolio'!AG$4:AG$32,'The PIP portfolio'!$AP$4:$AP$32,"Yes",'The PIP portfolio'!$L$4:$L$32,$B$5,'The PIP portfolio'!$F$4:$F$32,'Simulation of 2017 MTEF'!$B7)</f>
        <v>1.8</v>
      </c>
      <c r="H7" s="88">
        <f>SUMIFS('The PIP portfolio'!AH$4:AH$32,'The PIP portfolio'!$AP$4:$AP$32,"Yes",'The PIP portfolio'!$L$4:$L$32,$B$5,'The PIP portfolio'!$F$4:$F$32,'Simulation of 2017 MTEF'!$B7)</f>
        <v>0</v>
      </c>
      <c r="I7" s="88">
        <f>SUMIFS('The PIP portfolio'!AI$4:AI$32,'The PIP portfolio'!$AP$4:$AP$32,"Yes",'The PIP portfolio'!$L$4:$L$32,$B$5,'The PIP portfolio'!$F$4:$F$32,'Simulation of 2017 MTEF'!$B7)</f>
        <v>0</v>
      </c>
      <c r="J7" s="88">
        <f>SUMIFS('The PIP portfolio'!AJ$4:AJ$32,'The PIP portfolio'!$AP$4:$AP$32,"Yes",'The PIP portfolio'!$L$4:$L$32,$B$5,'The PIP portfolio'!$F$4:$F$32,'Simulation of 2017 MTEF'!$B7)</f>
        <v>0</v>
      </c>
    </row>
    <row r="8" spans="2:11" x14ac:dyDescent="0.35">
      <c r="B8" s="87" t="s">
        <v>34</v>
      </c>
      <c r="C8" s="88">
        <f>SUMIFS('The PIP portfolio'!S$4:S$32,'The PIP portfolio'!$AP$4:$AP$32,"Yes",'The PIP portfolio'!$L$4:$L$32,$B$5,'The PIP portfolio'!$F$4:$F$32,'Simulation of 2017 MTEF'!$B8)</f>
        <v>126.5</v>
      </c>
      <c r="D8" s="88">
        <f>+SUMIFS('The PIP portfolio'!$Z$4:$Z$32,'The PIP portfolio'!$AP$4:$AP$32,"Yes",'The PIP portfolio'!$L$4:$L$32,$B$5,'The PIP portfolio'!$F$4:$F$32,'Simulation of 2017 MTEF'!$B8)</f>
        <v>82</v>
      </c>
      <c r="E8" s="88">
        <f>SUMIFS('The PIP portfolio'!$AE$4:$AE$32,'The PIP portfolio'!$AP$4:$AP$32,"Yes",'The PIP portfolio'!$L$4:$L$32,$B$5,'The PIP portfolio'!$F$4:$F$32,'Simulation of 2017 MTEF'!$B8)</f>
        <v>15.5</v>
      </c>
      <c r="F8" s="88">
        <f>SUMIFS('The PIP portfolio'!AF$4:AF$32,'The PIP portfolio'!$AP$4:$AP$32,"Yes",'The PIP portfolio'!$L$4:$L$32,$B$5,'The PIP portfolio'!$F$4:$F$32,'Simulation of 2017 MTEF'!$B8)</f>
        <v>10</v>
      </c>
      <c r="G8" s="88">
        <f>SUMIFS('The PIP portfolio'!AG$4:AG$32,'The PIP portfolio'!$AP$4:$AP$32,"Yes",'The PIP portfolio'!$L$4:$L$32,$B$5,'The PIP portfolio'!$F$4:$F$32,'Simulation of 2017 MTEF'!$B8)</f>
        <v>7</v>
      </c>
      <c r="H8" s="88">
        <f>SUMIFS('The PIP portfolio'!AH$4:AH$32,'The PIP portfolio'!$AP$4:$AP$32,"Yes",'The PIP portfolio'!$L$4:$L$32,$B$5,'The PIP portfolio'!$F$4:$F$32,'Simulation of 2017 MTEF'!$B8)</f>
        <v>7</v>
      </c>
      <c r="I8" s="88">
        <f>SUMIFS('The PIP portfolio'!AI$4:AI$32,'The PIP portfolio'!$AP$4:$AP$32,"Yes",'The PIP portfolio'!$L$4:$L$32,$B$5,'The PIP portfolio'!$F$4:$F$32,'Simulation of 2017 MTEF'!$B8)</f>
        <v>5</v>
      </c>
      <c r="J8" s="88">
        <f>SUMIFS('The PIP portfolio'!AJ$4:AJ$32,'The PIP portfolio'!$AP$4:$AP$32,"Yes",'The PIP portfolio'!$L$4:$L$32,$B$5,'The PIP portfolio'!$F$4:$F$32,'Simulation of 2017 MTEF'!$B8)</f>
        <v>0</v>
      </c>
    </row>
    <row r="9" spans="2:11" x14ac:dyDescent="0.35">
      <c r="B9" s="87" t="s">
        <v>244</v>
      </c>
      <c r="C9" s="88">
        <f>SUMIFS('The PIP portfolio'!S$4:S$32,'The PIP portfolio'!$AP$4:$AP$32,"Yes",'The PIP portfolio'!$L$4:$L$32,$B$5,'The PIP portfolio'!$F$4:$F$32,'Simulation of 2017 MTEF'!$B9)</f>
        <v>1292.842937013919</v>
      </c>
      <c r="D9" s="88">
        <f>+SUMIFS('The PIP portfolio'!$Z$4:$Z$32,'The PIP portfolio'!$AP$4:$AP$32,"Yes",'The PIP portfolio'!$L$4:$L$32,$B$5,'The PIP portfolio'!$F$4:$F$32,'Simulation of 2017 MTEF'!$B9)</f>
        <v>670.2</v>
      </c>
      <c r="E9" s="88">
        <f>SUMIFS('The PIP portfolio'!$AE$4:$AE$32,'The PIP portfolio'!$AP$4:$AP$32,"Yes",'The PIP portfolio'!$L$4:$L$32,$B$5,'The PIP portfolio'!$F$4:$F$32,'Simulation of 2017 MTEF'!$B9)</f>
        <v>153</v>
      </c>
      <c r="F9" s="88">
        <f>SUMIFS('The PIP portfolio'!AF$4:AF$32,'The PIP portfolio'!$AP$4:$AP$32,"Yes",'The PIP portfolio'!$L$4:$L$32,$B$5,'The PIP portfolio'!$F$4:$F$32,'Simulation of 2017 MTEF'!$B9)</f>
        <v>129.55000000000001</v>
      </c>
      <c r="G9" s="88">
        <f>SUMIFS('The PIP portfolio'!AG$4:AG$32,'The PIP portfolio'!$AP$4:$AP$32,"Yes",'The PIP portfolio'!$L$4:$L$32,$B$5,'The PIP portfolio'!$F$4:$F$32,'Simulation of 2017 MTEF'!$B9)</f>
        <v>102.03999999999999</v>
      </c>
      <c r="H9" s="88">
        <f>SUMIFS('The PIP portfolio'!AH$4:AH$32,'The PIP portfolio'!$AP$4:$AP$32,"Yes",'The PIP portfolio'!$L$4:$L$32,$B$5,'The PIP portfolio'!$F$4:$F$32,'Simulation of 2017 MTEF'!$B9)</f>
        <v>85.76</v>
      </c>
      <c r="I9" s="88">
        <f>SUMIFS('The PIP portfolio'!AI$4:AI$32,'The PIP portfolio'!$AP$4:$AP$32,"Yes",'The PIP portfolio'!$L$4:$L$32,$B$5,'The PIP portfolio'!$F$4:$F$32,'Simulation of 2017 MTEF'!$B9)</f>
        <v>76.739999999999995</v>
      </c>
      <c r="J9" s="88">
        <f>SUMIFS('The PIP portfolio'!AJ$4:AJ$32,'The PIP portfolio'!$AP$4:$AP$32,"Yes",'The PIP portfolio'!$L$4:$L$32,$B$5,'The PIP portfolio'!$F$4:$F$32,'Simulation of 2017 MTEF'!$B9)</f>
        <v>65.849999999999994</v>
      </c>
    </row>
    <row r="10" spans="2:11" x14ac:dyDescent="0.35">
      <c r="B10" s="87" t="s">
        <v>46</v>
      </c>
      <c r="C10" s="88">
        <f>SUMIFS('The PIP portfolio'!S$4:S$32,'The PIP portfolio'!$AP$4:$AP$32,"Yes",'The PIP portfolio'!$L$4:$L$32,$B$5,'The PIP portfolio'!$F$4:$F$32,'Simulation of 2017 MTEF'!$B10)</f>
        <v>855</v>
      </c>
      <c r="D10" s="88">
        <f>+SUMIFS('The PIP portfolio'!$Z$4:$Z$32,'The PIP portfolio'!$AP$4:$AP$32,"Yes",'The PIP portfolio'!$L$4:$L$32,$B$5,'The PIP portfolio'!$F$4:$F$32,'Simulation of 2017 MTEF'!$B10)</f>
        <v>581.08411320754703</v>
      </c>
      <c r="E10" s="88">
        <f>SUMIFS('The PIP portfolio'!$AE$4:$AE$32,'The PIP portfolio'!$AP$4:$AP$32,"Yes",'The PIP portfolio'!$L$4:$L$32,$B$5,'The PIP portfolio'!$F$4:$F$32,'Simulation of 2017 MTEF'!$B10)</f>
        <v>62.3</v>
      </c>
      <c r="F10" s="88">
        <f>SUMIFS('The PIP portfolio'!AF$4:AF$32,'The PIP portfolio'!$AP$4:$AP$32,"Yes",'The PIP portfolio'!$L$4:$L$32,$B$5,'The PIP portfolio'!$F$4:$F$32,'Simulation of 2017 MTEF'!$B10)</f>
        <v>41</v>
      </c>
      <c r="G10" s="88">
        <f>SUMIFS('The PIP portfolio'!AG$4:AG$32,'The PIP portfolio'!$AP$4:$AP$32,"Yes",'The PIP portfolio'!$L$4:$L$32,$B$5,'The PIP portfolio'!$F$4:$F$32,'Simulation of 2017 MTEF'!$B10)</f>
        <v>42.300000000000004</v>
      </c>
      <c r="H10" s="88">
        <f>SUMIFS('The PIP portfolio'!AH$4:AH$32,'The PIP portfolio'!$AP$4:$AP$32,"Yes",'The PIP portfolio'!$L$4:$L$32,$B$5,'The PIP portfolio'!$F$4:$F$32,'Simulation of 2017 MTEF'!$B10)</f>
        <v>20</v>
      </c>
      <c r="I10" s="88">
        <f>SUMIFS('The PIP portfolio'!AI$4:AI$32,'The PIP portfolio'!$AP$4:$AP$32,"Yes",'The PIP portfolio'!$L$4:$L$32,$B$5,'The PIP portfolio'!$F$4:$F$32,'Simulation of 2017 MTEF'!$B10)</f>
        <v>20</v>
      </c>
      <c r="J10" s="88">
        <f>SUMIFS('The PIP portfolio'!AJ$4:AJ$32,'The PIP portfolio'!$AP$4:$AP$32,"Yes",'The PIP portfolio'!$L$4:$L$32,$B$5,'The PIP portfolio'!$F$4:$F$32,'Simulation of 2017 MTEF'!$B10)</f>
        <v>20</v>
      </c>
    </row>
    <row r="11" spans="2:11" ht="4.5" customHeight="1" x14ac:dyDescent="0.35">
      <c r="B11" s="87"/>
      <c r="C11" s="88"/>
      <c r="D11" s="88"/>
      <c r="E11" s="88"/>
      <c r="F11" s="88"/>
      <c r="G11" s="88"/>
      <c r="H11" s="88"/>
      <c r="I11" s="88"/>
      <c r="J11" s="88"/>
    </row>
    <row r="12" spans="2:11" x14ac:dyDescent="0.35">
      <c r="B12" s="91" t="s">
        <v>18</v>
      </c>
      <c r="C12" s="92">
        <f t="shared" ref="C12:J12" si="3">SUM(C13:C17)</f>
        <v>541.37099999999998</v>
      </c>
      <c r="D12" s="92">
        <f t="shared" si="3"/>
        <v>0</v>
      </c>
      <c r="E12" s="92">
        <f t="shared" si="3"/>
        <v>0</v>
      </c>
      <c r="F12" s="93">
        <f t="shared" si="3"/>
        <v>61.400000000000006</v>
      </c>
      <c r="G12" s="93">
        <f t="shared" si="3"/>
        <v>134.45000000000002</v>
      </c>
      <c r="H12" s="93">
        <f t="shared" si="3"/>
        <v>185.57</v>
      </c>
      <c r="I12" s="93">
        <f t="shared" si="3"/>
        <v>82.64</v>
      </c>
      <c r="J12" s="93">
        <f t="shared" si="3"/>
        <v>57.1</v>
      </c>
    </row>
    <row r="13" spans="2:11" x14ac:dyDescent="0.35">
      <c r="B13" s="87" t="s">
        <v>13</v>
      </c>
      <c r="C13" s="88">
        <f>SUMIFS('The PIP portfolio'!S$4:S$32,'The PIP portfolio'!$AP$4:$AP$32,"Yes",'The PIP portfolio'!$L$4:$L$32,$B$12,'The PIP portfolio'!$F$4:$F$32,'Simulation of 2017 MTEF'!$B13)</f>
        <v>0</v>
      </c>
      <c r="D13" s="88">
        <f>SUMIFS('The PIP portfolio'!$AE$4:$AE$32,'The PIP portfolio'!$AP$4:$AP$32,"Yes",'The PIP portfolio'!$L$4:$L$32,$B$12,'The PIP portfolio'!$F$4:$F$32,'Simulation of 2017 MTEF'!$B13)+SUMIFS('The PIP portfolio'!$Z$4:$Z$32,'The PIP portfolio'!$AP$4:$AP$32,"Yes",'The PIP portfolio'!$L$4:$L$32,$B$12,'The PIP portfolio'!$F$4:$F$32,'Simulation of 2017 MTEF'!$B13)</f>
        <v>0</v>
      </c>
      <c r="E13" s="88">
        <v>0</v>
      </c>
      <c r="F13" s="88">
        <f>SUMIFS('The PIP portfolio'!AF$4:AF$32,'The PIP portfolio'!$AP$4:$AP$32,"Yes",'The PIP portfolio'!$L$4:$L$32,$B$12,'The PIP portfolio'!$F$4:$F$32,'Simulation of 2017 MTEF'!$B13)</f>
        <v>0</v>
      </c>
      <c r="G13" s="88">
        <f>SUMIFS('The PIP portfolio'!AG$4:AG$32,'The PIP portfolio'!$AP$4:$AP$32,"Yes",'The PIP portfolio'!$L$4:$L$32,$B$12,'The PIP portfolio'!$F$4:$F$32,'Simulation of 2017 MTEF'!$B13)</f>
        <v>0</v>
      </c>
      <c r="H13" s="88">
        <f>SUMIFS('The PIP portfolio'!AH$4:AH$32,'The PIP portfolio'!$AP$4:$AP$32,"Yes",'The PIP portfolio'!$L$4:$L$32,$B$12,'The PIP portfolio'!$F$4:$F$32,'Simulation of 2017 MTEF'!$B13)</f>
        <v>0</v>
      </c>
      <c r="I13" s="88">
        <f>SUMIFS('The PIP portfolio'!AI$4:AI$32,'The PIP portfolio'!$AP$4:$AP$32,"Yes",'The PIP portfolio'!$L$4:$L$32,$B$12,'The PIP portfolio'!$F$4:$F$32,'Simulation of 2017 MTEF'!$B13)</f>
        <v>0</v>
      </c>
      <c r="J13" s="88">
        <f>SUMIFS('The PIP portfolio'!AJ$4:AJ$32,'The PIP portfolio'!$AP$4:$AP$32,"Yes",'The PIP portfolio'!$L$4:$L$32,$B$12,'The PIP portfolio'!$F$4:$F$32,'Simulation of 2017 MTEF'!$B13)</f>
        <v>0</v>
      </c>
    </row>
    <row r="14" spans="2:11" x14ac:dyDescent="0.35">
      <c r="B14" s="87" t="s">
        <v>20</v>
      </c>
      <c r="C14" s="88">
        <f>SUMIFS('The PIP portfolio'!S$4:S$32,'The PIP portfolio'!$AP$4:$AP$32,"Yes",'The PIP portfolio'!$L$4:$L$32,$B$12,'The PIP portfolio'!$F$4:$F$32,'Simulation of 2017 MTEF'!$B14)</f>
        <v>0</v>
      </c>
      <c r="D14" s="88">
        <f>SUMIFS('The PIP portfolio'!$AE$4:$AE$32,'The PIP portfolio'!$AP$4:$AP$32,"Yes",'The PIP portfolio'!$L$4:$L$32,$B$12,'The PIP portfolio'!$F$4:$F$32,'Simulation of 2017 MTEF'!$B14)+SUMIFS('The PIP portfolio'!$Z$4:$Z$32,'The PIP portfolio'!$AP$4:$AP$32,"Yes",'The PIP portfolio'!$L$4:$L$32,$B$12,'The PIP portfolio'!$F$4:$F$32,'Simulation of 2017 MTEF'!$B14)</f>
        <v>0</v>
      </c>
      <c r="E14" s="88">
        <v>0</v>
      </c>
      <c r="F14" s="88">
        <f>SUMIFS('The PIP portfolio'!AF$4:AF$32,'The PIP portfolio'!$AP$4:$AP$32,"Yes",'The PIP portfolio'!$L$4:$L$32,$B$12,'The PIP portfolio'!$F$4:$F$32,'Simulation of 2017 MTEF'!$B14)</f>
        <v>0</v>
      </c>
      <c r="G14" s="88">
        <f>SUMIFS('The PIP portfolio'!AG$4:AG$32,'The PIP portfolio'!$AP$4:$AP$32,"Yes",'The PIP portfolio'!$L$4:$L$32,$B$12,'The PIP portfolio'!$F$4:$F$32,'Simulation of 2017 MTEF'!$B14)</f>
        <v>0</v>
      </c>
      <c r="H14" s="88">
        <f>SUMIFS('The PIP portfolio'!AH$4:AH$32,'The PIP portfolio'!$AP$4:$AP$32,"Yes",'The PIP portfolio'!$L$4:$L$32,$B$12,'The PIP portfolio'!$F$4:$F$32,'Simulation of 2017 MTEF'!$B14)</f>
        <v>0</v>
      </c>
      <c r="I14" s="88">
        <f>SUMIFS('The PIP portfolio'!AI$4:AI$32,'The PIP portfolio'!$AP$4:$AP$32,"Yes",'The PIP portfolio'!$L$4:$L$32,$B$12,'The PIP portfolio'!$F$4:$F$32,'Simulation of 2017 MTEF'!$B14)</f>
        <v>0</v>
      </c>
      <c r="J14" s="88">
        <f>SUMIFS('The PIP portfolio'!AJ$4:AJ$32,'The PIP portfolio'!$AP$4:$AP$32,"Yes",'The PIP portfolio'!$L$4:$L$32,$B$12,'The PIP portfolio'!$F$4:$F$32,'Simulation of 2017 MTEF'!$B14)</f>
        <v>0</v>
      </c>
    </row>
    <row r="15" spans="2:11" x14ac:dyDescent="0.35">
      <c r="B15" s="87" t="s">
        <v>34</v>
      </c>
      <c r="C15" s="88">
        <f>SUMIFS('The PIP portfolio'!S$4:S$32,'The PIP portfolio'!$AP$4:$AP$32,"Yes",'The PIP portfolio'!$L$4:$L$32,$B$12,'The PIP portfolio'!$F$4:$F$32,'Simulation of 2017 MTEF'!$B15)</f>
        <v>34.57</v>
      </c>
      <c r="D15" s="88">
        <f>SUMIFS('The PIP portfolio'!$AE$4:$AE$32,'The PIP portfolio'!$AP$4:$AP$32,"Yes",'The PIP portfolio'!$L$4:$L$32,$B$12,'The PIP portfolio'!$F$4:$F$32,'Simulation of 2017 MTEF'!$B15)+SUMIFS('The PIP portfolio'!$Z$4:$Z$32,'The PIP portfolio'!$AP$4:$AP$32,"Yes",'The PIP portfolio'!$L$4:$L$32,$B$12,'The PIP portfolio'!$F$4:$F$32,'Simulation of 2017 MTEF'!$B15)</f>
        <v>0</v>
      </c>
      <c r="E15" s="88">
        <v>0</v>
      </c>
      <c r="F15" s="88">
        <f>SUMIFS('The PIP portfolio'!AF$4:AF$32,'The PIP portfolio'!$AP$4:$AP$32,"Yes",'The PIP portfolio'!$L$4:$L$32,$B$12,'The PIP portfolio'!$F$4:$F$32,'Simulation of 2017 MTEF'!$B15)</f>
        <v>8.1999999999999993</v>
      </c>
      <c r="G15" s="88">
        <f>SUMIFS('The PIP portfolio'!AG$4:AG$32,'The PIP portfolio'!$AP$4:$AP$32,"Yes",'The PIP portfolio'!$L$4:$L$32,$B$12,'The PIP portfolio'!$F$4:$F$32,'Simulation of 2017 MTEF'!$B15)</f>
        <v>12.4</v>
      </c>
      <c r="H15" s="88">
        <f>SUMIFS('The PIP portfolio'!AH$4:AH$32,'The PIP portfolio'!$AP$4:$AP$32,"Yes",'The PIP portfolio'!$L$4:$L$32,$B$12,'The PIP portfolio'!$F$4:$F$32,'Simulation of 2017 MTEF'!$B15)</f>
        <v>10.37</v>
      </c>
      <c r="I15" s="88">
        <f>SUMIFS('The PIP portfolio'!AI$4:AI$32,'The PIP portfolio'!$AP$4:$AP$32,"Yes",'The PIP portfolio'!$L$4:$L$32,$B$12,'The PIP portfolio'!$F$4:$F$32,'Simulation of 2017 MTEF'!$B15)</f>
        <v>0.9</v>
      </c>
      <c r="J15" s="88">
        <f>SUMIFS('The PIP portfolio'!AJ$4:AJ$32,'The PIP portfolio'!$AP$4:$AP$32,"Yes",'The PIP portfolio'!$L$4:$L$32,$B$12,'The PIP portfolio'!$F$4:$F$32,'Simulation of 2017 MTEF'!$B15)</f>
        <v>0</v>
      </c>
    </row>
    <row r="16" spans="2:11" x14ac:dyDescent="0.35">
      <c r="B16" s="87" t="s">
        <v>244</v>
      </c>
      <c r="C16" s="88">
        <f>SUMIFS('The PIP portfolio'!S$4:S$32,'The PIP portfolio'!$AP$4:$AP$32,"Yes",'The PIP portfolio'!$L$4:$L$32,$B$12,'The PIP portfolio'!$F$4:$F$32,'Simulation of 2017 MTEF'!$B16)</f>
        <v>447.05099999999999</v>
      </c>
      <c r="D16" s="88">
        <f>SUMIFS('The PIP portfolio'!$AE$4:$AE$32,'The PIP portfolio'!$AP$4:$AP$32,"Yes",'The PIP portfolio'!$L$4:$L$32,$B$12,'The PIP portfolio'!$F$4:$F$32,'Simulation of 2017 MTEF'!$B16)+SUMIFS('The PIP portfolio'!$Z$4:$Z$32,'The PIP portfolio'!$AP$4:$AP$32,"Yes",'The PIP portfolio'!$L$4:$L$32,$B$12,'The PIP portfolio'!$F$4:$F$32,'Simulation of 2017 MTEF'!$B16)</f>
        <v>0</v>
      </c>
      <c r="E16" s="88">
        <v>0</v>
      </c>
      <c r="F16" s="88">
        <f>SUMIFS('The PIP portfolio'!AF$4:AF$32,'The PIP portfolio'!$AP$4:$AP$32,"Yes",'The PIP portfolio'!$L$4:$L$32,$B$12,'The PIP portfolio'!$F$4:$F$32,'Simulation of 2017 MTEF'!$B16)</f>
        <v>39</v>
      </c>
      <c r="G16" s="88">
        <f>SUMIFS('The PIP portfolio'!AG$4:AG$32,'The PIP portfolio'!$AP$4:$AP$32,"Yes",'The PIP portfolio'!$L$4:$L$32,$B$12,'The PIP portfolio'!$F$4:$F$32,'Simulation of 2017 MTEF'!$B16)</f>
        <v>91.4</v>
      </c>
      <c r="H16" s="88">
        <f>SUMIFS('The PIP portfolio'!AH$4:AH$32,'The PIP portfolio'!$AP$4:$AP$32,"Yes",'The PIP portfolio'!$L$4:$L$32,$B$12,'The PIP portfolio'!$F$4:$F$32,'Simulation of 2017 MTEF'!$B16)</f>
        <v>161</v>
      </c>
      <c r="I16" s="88">
        <f>SUMIFS('The PIP portfolio'!AI$4:AI$32,'The PIP portfolio'!$AP$4:$AP$32,"Yes",'The PIP portfolio'!$L$4:$L$32,$B$12,'The PIP portfolio'!$F$4:$F$32,'Simulation of 2017 MTEF'!$B16)</f>
        <v>81.739999999999995</v>
      </c>
      <c r="J16" s="88">
        <f>SUMIFS('The PIP portfolio'!AJ$4:AJ$32,'The PIP portfolio'!$AP$4:$AP$32,"Yes",'The PIP portfolio'!$L$4:$L$32,$B$12,'The PIP portfolio'!$F$4:$F$32,'Simulation of 2017 MTEF'!$B16)</f>
        <v>57.1</v>
      </c>
    </row>
    <row r="17" spans="2:11" x14ac:dyDescent="0.35">
      <c r="B17" s="87" t="s">
        <v>46</v>
      </c>
      <c r="C17" s="88">
        <f>SUMIFS('The PIP portfolio'!S$4:S$32,'The PIP portfolio'!$AP$4:$AP$32,"Yes",'The PIP portfolio'!$L$4:$L$32,$B$12,'The PIP portfolio'!$F$4:$F$32,'Simulation of 2017 MTEF'!$B17)</f>
        <v>59.75</v>
      </c>
      <c r="D17" s="88">
        <f>SUMIFS('The PIP portfolio'!$AE$4:$AE$32,'The PIP portfolio'!$AP$4:$AP$32,"Yes",'The PIP portfolio'!$L$4:$L$32,$B$12,'The PIP portfolio'!$F$4:$F$32,'Simulation of 2017 MTEF'!$B17)+SUMIFS('The PIP portfolio'!$Z$4:$Z$32,'The PIP portfolio'!$AP$4:$AP$32,"Yes",'The PIP portfolio'!$L$4:$L$32,$B$12,'The PIP portfolio'!$F$4:$F$32,'Simulation of 2017 MTEF'!$B17)</f>
        <v>0</v>
      </c>
      <c r="E17" s="88">
        <v>0</v>
      </c>
      <c r="F17" s="88">
        <f>SUMIFS('The PIP portfolio'!AF$4:AF$32,'The PIP portfolio'!$AP$4:$AP$32,"Yes",'The PIP portfolio'!$L$4:$L$32,$B$12,'The PIP portfolio'!$F$4:$F$32,'Simulation of 2017 MTEF'!$B17)</f>
        <v>14.2</v>
      </c>
      <c r="G17" s="88">
        <f>SUMIFS('The PIP portfolio'!AG$4:AG$32,'The PIP portfolio'!$AP$4:$AP$32,"Yes",'The PIP portfolio'!$L$4:$L$32,$B$12,'The PIP portfolio'!$F$4:$F$32,'Simulation of 2017 MTEF'!$B17)</f>
        <v>30.650000000000002</v>
      </c>
      <c r="H17" s="88">
        <f>SUMIFS('The PIP portfolio'!AH$4:AH$32,'The PIP portfolio'!$AP$4:$AP$32,"Yes",'The PIP portfolio'!$L$4:$L$32,$B$12,'The PIP portfolio'!$F$4:$F$32,'Simulation of 2017 MTEF'!$B17)</f>
        <v>14.2</v>
      </c>
      <c r="I17" s="88">
        <f>SUMIFS('The PIP portfolio'!AI$4:AI$32,'The PIP portfolio'!$AP$4:$AP$32,"Yes",'The PIP portfolio'!$L$4:$L$32,$B$12,'The PIP portfolio'!$F$4:$F$32,'Simulation of 2017 MTEF'!$B17)</f>
        <v>0</v>
      </c>
      <c r="J17" s="88">
        <f>SUMIFS('The PIP portfolio'!AJ$4:AJ$32,'The PIP portfolio'!$AP$4:$AP$32,"Yes",'The PIP portfolio'!$L$4:$L$32,$B$12,'The PIP portfolio'!$F$4:$F$32,'Simulation of 2017 MTEF'!$B17)</f>
        <v>0</v>
      </c>
    </row>
    <row r="18" spans="2:11" x14ac:dyDescent="0.35">
      <c r="B18" s="94" t="s">
        <v>159</v>
      </c>
      <c r="C18" s="95">
        <f t="shared" ref="C18:F18" si="4">C5+C12</f>
        <v>2892.2139370139193</v>
      </c>
      <c r="D18" s="95">
        <f t="shared" si="4"/>
        <v>1386.9841132075471</v>
      </c>
      <c r="E18" s="95">
        <f t="shared" si="4"/>
        <v>244.2</v>
      </c>
      <c r="F18" s="95">
        <f t="shared" si="4"/>
        <v>249.55</v>
      </c>
      <c r="G18" s="95">
        <f>G5+G12</f>
        <v>287.59000000000003</v>
      </c>
      <c r="H18" s="95">
        <f>H5+H12</f>
        <v>298.33</v>
      </c>
      <c r="I18" s="95">
        <f>I5+I12</f>
        <v>184.38</v>
      </c>
      <c r="J18" s="95">
        <f>J5+J12</f>
        <v>142.94999999999999</v>
      </c>
    </row>
    <row r="19" spans="2:11" x14ac:dyDescent="0.35">
      <c r="B19" s="96" t="s">
        <v>242</v>
      </c>
      <c r="C19" s="96"/>
      <c r="D19" s="96"/>
      <c r="E19" s="97">
        <f t="shared" ref="E19:J19" si="5">E3-E18</f>
        <v>0</v>
      </c>
      <c r="F19" s="97">
        <f t="shared" si="5"/>
        <v>5.791579492632394</v>
      </c>
      <c r="G19" s="97">
        <f t="shared" si="5"/>
        <v>-2.4059182685360838</v>
      </c>
      <c r="H19" s="97">
        <f t="shared" si="5"/>
        <v>13.227162299632084</v>
      </c>
      <c r="I19" s="97">
        <f t="shared" si="5"/>
        <v>157.86346096018985</v>
      </c>
      <c r="J19" s="97">
        <f t="shared" si="5"/>
        <v>291.31742403946157</v>
      </c>
    </row>
    <row r="20" spans="2:11" x14ac:dyDescent="0.35">
      <c r="F20" s="139">
        <f t="shared" ref="F20:J20" si="6">F19/F3</f>
        <v>2.2681693691017149E-2</v>
      </c>
      <c r="G20" s="139">
        <f t="shared" si="6"/>
        <v>-8.4363694282261984E-3</v>
      </c>
      <c r="H20" s="139">
        <f t="shared" si="6"/>
        <v>4.2455009546245648E-2</v>
      </c>
      <c r="I20" s="139">
        <f t="shared" si="6"/>
        <v>0.46126070755973542</v>
      </c>
      <c r="J20" s="139">
        <f t="shared" si="6"/>
        <v>0.6708249523523776</v>
      </c>
    </row>
    <row r="23" spans="2:11" x14ac:dyDescent="0.35">
      <c r="B23" s="101"/>
      <c r="C23" s="100" t="s">
        <v>160</v>
      </c>
      <c r="D23" s="101" t="s">
        <v>239</v>
      </c>
      <c r="E23" s="100">
        <v>2016</v>
      </c>
      <c r="F23" s="100">
        <f t="shared" ref="F23" si="7">E23+1</f>
        <v>2017</v>
      </c>
      <c r="G23" s="100">
        <f t="shared" ref="G23" si="8">F23+1</f>
        <v>2018</v>
      </c>
      <c r="H23" s="100">
        <f t="shared" ref="H23" si="9">G23+1</f>
        <v>2019</v>
      </c>
      <c r="I23" s="100">
        <f t="shared" ref="I23:J23" si="10">H23+1</f>
        <v>2020</v>
      </c>
      <c r="J23" s="100">
        <f t="shared" si="10"/>
        <v>2021</v>
      </c>
      <c r="K23" s="100" t="s">
        <v>246</v>
      </c>
    </row>
    <row r="24" spans="2:11" x14ac:dyDescent="0.35">
      <c r="B24" s="91" t="s">
        <v>241</v>
      </c>
      <c r="C24" s="93">
        <f t="shared" ref="C24:D24" si="11">SUM(C25:C29)</f>
        <v>1521.0529370139191</v>
      </c>
      <c r="D24" s="93">
        <f t="shared" si="11"/>
        <v>1116.718113207547</v>
      </c>
      <c r="E24" s="93">
        <f t="shared" ref="E24:K24" si="12">SUM(E25:E29)</f>
        <v>1195.7276418365877</v>
      </c>
      <c r="F24" s="93">
        <f t="shared" si="12"/>
        <v>1221.0122272507647</v>
      </c>
      <c r="G24" s="93">
        <f t="shared" si="12"/>
        <v>1247.515701393444</v>
      </c>
      <c r="H24" s="93">
        <f t="shared" si="12"/>
        <v>1265.974696696404</v>
      </c>
      <c r="I24" s="93">
        <f t="shared" si="12"/>
        <v>1295.2000661392321</v>
      </c>
      <c r="J24" s="93">
        <f t="shared" si="12"/>
        <v>1327.0082026812074</v>
      </c>
      <c r="K24" s="93">
        <f t="shared" si="12"/>
        <v>1521.0529370139188</v>
      </c>
    </row>
    <row r="25" spans="2:11" x14ac:dyDescent="0.35">
      <c r="B25" s="87" t="s">
        <v>13</v>
      </c>
      <c r="C25" s="88">
        <f>SUMIFS('The PIP portfolio'!W$4:W$32,'The PIP portfolio'!$AP$4:$AP$32,"Yes",'The PIP portfolio'!$L$4:$L$32,$B$24,'The PIP portfolio'!$F$4:$F$32,'Simulation of 2017 MTEF'!$B25)+SUMIFS('The PIP portfolio'!X$4:X$32,'The PIP portfolio'!$AP$4:$AP$32,"Yes",'The PIP portfolio'!$L$4:$L$32,$B$24,'The PIP portfolio'!$F$4:$F$32,'Simulation of 2017 MTEF'!$B25)</f>
        <v>24</v>
      </c>
      <c r="D25" s="88">
        <f>SUMIFS('The PIP portfolio'!AC$4:AC$32,'The PIP portfolio'!$AP$4:$AP$32,"Yes",'The PIP portfolio'!$L$4:$L$32,$B$24,'The PIP portfolio'!$F$4:$F$32,'Simulation of 2017 MTEF'!$B25)+SUMIFS('The PIP portfolio'!AB$4:AB$32,'The PIP portfolio'!$AP$4:$AP$32,"Yes",'The PIP portfolio'!$L$4:$L$32,$B$24,'The PIP portfolio'!$F$4:$F$32,'Simulation of 2017 MTEF'!$B25)</f>
        <v>24</v>
      </c>
      <c r="E25" s="88">
        <f>SUMIFS('The PIP portfolio'!AS$4:AS$32,'The PIP portfolio'!$AP$4:$AP$32,"Yes",'The PIP portfolio'!$L$4:$L$32,$B$24,'The PIP portfolio'!$F$4:$F$32,'Simulation of 2017 MTEF'!$B25)</f>
        <v>24</v>
      </c>
      <c r="F25" s="88">
        <f>SUMIFS('The PIP portfolio'!AT$4:AT$32,'The PIP portfolio'!$AP$4:$AP$32,"Yes",'The PIP portfolio'!$L$4:$L$32,$B$24,'The PIP portfolio'!$F$4:$F$32,'Simulation of 2017 MTEF'!$B25)</f>
        <v>24</v>
      </c>
      <c r="G25" s="88">
        <f>SUMIFS('The PIP portfolio'!AU$4:AU$32,'The PIP portfolio'!$AP$4:$AP$32,"Yes",'The PIP portfolio'!$L$4:$L$32,$B$24,'The PIP portfolio'!$F$4:$F$32,'Simulation of 2017 MTEF'!$B25)</f>
        <v>24</v>
      </c>
      <c r="H25" s="88">
        <f>SUMIFS('The PIP portfolio'!AV$4:AV$32,'The PIP portfolio'!$AP$4:$AP$32,"Yes",'The PIP portfolio'!$L$4:$L$32,$B$24,'The PIP portfolio'!$F$4:$F$32,'Simulation of 2017 MTEF'!$B25)</f>
        <v>24</v>
      </c>
      <c r="I25" s="88">
        <f>SUMIFS('The PIP portfolio'!AW$4:AW$32,'The PIP portfolio'!$AP$4:$AP$32,"Yes",'The PIP portfolio'!$L$4:$L$32,$B$24,'The PIP portfolio'!$F$4:$F$32,'Simulation of 2017 MTEF'!$B25)</f>
        <v>24</v>
      </c>
      <c r="J25" s="88">
        <f>SUMIFS('The PIP portfolio'!AX$4:AX$32,'The PIP portfolio'!$AP$4:$AP$32,"Yes",'The PIP portfolio'!$L$4:$L$32,$B$24,'The PIP portfolio'!$F$4:$F$32,'Simulation of 2017 MTEF'!$B25)</f>
        <v>24</v>
      </c>
      <c r="K25" s="88">
        <f>SUMIFS('The PIP portfolio'!AY$4:AY$32,'The PIP portfolio'!$AP$4:$AP$32,"Yes",'The PIP portfolio'!$L$4:$L$32,$B$24,'The PIP portfolio'!$F$4:$F$32,'Simulation of 2017 MTEF'!$B25)</f>
        <v>24</v>
      </c>
    </row>
    <row r="26" spans="2:11" x14ac:dyDescent="0.35">
      <c r="B26" s="87" t="s">
        <v>20</v>
      </c>
      <c r="C26" s="88">
        <f>SUMIFS('The PIP portfolio'!W$4:W$32,'The PIP portfolio'!$AP$4:$AP$32,"Yes",'The PIP portfolio'!$L$4:$L$32,$B$24,'The PIP portfolio'!$F$4:$F$32,'Simulation of 2017 MTEF'!$B26)+SUMIFS('The PIP portfolio'!X$4:X$32,'The PIP portfolio'!$AP$4:$AP$32,"Yes",'The PIP portfolio'!$L$4:$L$32,$B$24,'The PIP portfolio'!$F$4:$F$32,'Simulation of 2017 MTEF'!$B26)</f>
        <v>9</v>
      </c>
      <c r="D26" s="88">
        <f>SUMIFS('The PIP portfolio'!AC$4:AC$32,'The PIP portfolio'!$AP$4:$AP$32,"Yes",'The PIP portfolio'!$L$4:$L$32,$B$24,'The PIP portfolio'!$F$4:$F$32,'Simulation of 2017 MTEF'!$B26)+SUMIFS('The PIP portfolio'!AB$4:AB$32,'The PIP portfolio'!$AP$4:$AP$32,"Yes",'The PIP portfolio'!$L$4:$L$32,$B$24,'The PIP portfolio'!$F$4:$F$32,'Simulation of 2017 MTEF'!$B26)</f>
        <v>9</v>
      </c>
      <c r="E26" s="88">
        <f>SUMIFS('The PIP portfolio'!AS$4:AS$32,'The PIP portfolio'!$AP$4:$AP$32,"Yes",'The PIP portfolio'!$L$4:$L$32,$B$24,'The PIP portfolio'!$F$4:$F$32,'Simulation of 2017 MTEF'!$B26)</f>
        <v>9</v>
      </c>
      <c r="F26" s="88">
        <f>SUMIFS('The PIP portfolio'!AT$4:AT$32,'The PIP portfolio'!$AP$4:$AP$32,"Yes",'The PIP portfolio'!$L$4:$L$32,$B$24,'The PIP portfolio'!$F$4:$F$32,'Simulation of 2017 MTEF'!$B26)</f>
        <v>9</v>
      </c>
      <c r="G26" s="88">
        <f>SUMIFS('The PIP portfolio'!AU$4:AU$32,'The PIP portfolio'!$AP$4:$AP$32,"Yes",'The PIP portfolio'!$L$4:$L$32,$B$24,'The PIP portfolio'!$F$4:$F$32,'Simulation of 2017 MTEF'!$B26)</f>
        <v>9</v>
      </c>
      <c r="H26" s="88">
        <f>SUMIFS('The PIP portfolio'!AV$4:AV$32,'The PIP portfolio'!$AP$4:$AP$32,"Yes",'The PIP portfolio'!$L$4:$L$32,$B$24,'The PIP portfolio'!$F$4:$F$32,'Simulation of 2017 MTEF'!$B26)</f>
        <v>9</v>
      </c>
      <c r="I26" s="88">
        <f>SUMIFS('The PIP portfolio'!AW$4:AW$32,'The PIP portfolio'!$AP$4:$AP$32,"Yes",'The PIP portfolio'!$L$4:$L$32,$B$24,'The PIP portfolio'!$F$4:$F$32,'Simulation of 2017 MTEF'!$B26)</f>
        <v>9</v>
      </c>
      <c r="J26" s="88">
        <f>SUMIFS('The PIP portfolio'!AX$4:AX$32,'The PIP portfolio'!$AP$4:$AP$32,"Yes",'The PIP portfolio'!$L$4:$L$32,$B$24,'The PIP portfolio'!$F$4:$F$32,'Simulation of 2017 MTEF'!$B26)</f>
        <v>9</v>
      </c>
      <c r="K26" s="88">
        <f>SUMIFS('The PIP portfolio'!AY$4:AY$32,'The PIP portfolio'!$AP$4:$AP$32,"Yes",'The PIP portfolio'!$L$4:$L$32,$B$24,'The PIP portfolio'!$F$4:$F$32,'Simulation of 2017 MTEF'!$B26)</f>
        <v>9</v>
      </c>
    </row>
    <row r="27" spans="2:11" x14ac:dyDescent="0.35">
      <c r="B27" s="87" t="s">
        <v>34</v>
      </c>
      <c r="C27" s="88">
        <f>SUMIFS('The PIP portfolio'!W$4:W$32,'The PIP portfolio'!$AP$4:$AP$32,"Yes",'The PIP portfolio'!$L$4:$L$32,$B$24,'The PIP portfolio'!$F$4:$F$32,'Simulation of 2017 MTEF'!$B27)+SUMIFS('The PIP portfolio'!X$4:X$32,'The PIP portfolio'!$AP$4:$AP$32,"Yes",'The PIP portfolio'!$L$4:$L$32,$B$24,'The PIP portfolio'!$F$4:$F$32,'Simulation of 2017 MTEF'!$B27)</f>
        <v>95</v>
      </c>
      <c r="D27" s="88">
        <f>SUMIFS('The PIP portfolio'!AC$4:AC$32,'The PIP portfolio'!$AP$4:$AP$32,"Yes",'The PIP portfolio'!$L$4:$L$32,$B$24,'The PIP portfolio'!$F$4:$F$32,'Simulation of 2017 MTEF'!$B27)+SUMIFS('The PIP portfolio'!AB$4:AB$32,'The PIP portfolio'!$AP$4:$AP$32,"Yes",'The PIP portfolio'!$L$4:$L$32,$B$24,'The PIP portfolio'!$F$4:$F$32,'Simulation of 2017 MTEF'!$B27)</f>
        <v>80</v>
      </c>
      <c r="E27" s="88">
        <f>SUMIFS('The PIP portfolio'!AS$4:AS$32,'The PIP portfolio'!$AP$4:$AP$32,"Yes",'The PIP portfolio'!$L$4:$L$32,$B$24,'The PIP portfolio'!$F$4:$F$32,'Simulation of 2017 MTEF'!$B27)</f>
        <v>86.302870271488075</v>
      </c>
      <c r="F27" s="88">
        <f>SUMIFS('The PIP portfolio'!AT$4:AT$32,'The PIP portfolio'!$AP$4:$AP$32,"Yes",'The PIP portfolio'!$L$4:$L$32,$B$24,'The PIP portfolio'!$F$4:$F$32,'Simulation of 2017 MTEF'!$B27)</f>
        <v>87.921601732062783</v>
      </c>
      <c r="G27" s="88">
        <f>SUMIFS('The PIP portfolio'!AU$4:AU$32,'The PIP portfolio'!$AP$4:$AP$32,"Yes",'The PIP portfolio'!$L$4:$L$32,$B$24,'The PIP portfolio'!$F$4:$F$32,'Simulation of 2017 MTEF'!$B27)</f>
        <v>89.272441392749798</v>
      </c>
      <c r="H27" s="88">
        <f>SUMIFS('The PIP portfolio'!AV$4:AV$32,'The PIP portfolio'!$AP$4:$AP$32,"Yes",'The PIP portfolio'!$L$4:$L$32,$B$24,'The PIP portfolio'!$F$4:$F$32,'Simulation of 2017 MTEF'!$B27)</f>
        <v>90.502338281391715</v>
      </c>
      <c r="I27" s="88">
        <f>SUMIFS('The PIP portfolio'!AW$4:AW$32,'The PIP portfolio'!$AP$4:$AP$32,"Yes",'The PIP portfolio'!$L$4:$L$32,$B$24,'The PIP portfolio'!$F$4:$F$32,'Simulation of 2017 MTEF'!$B27)</f>
        <v>91.93861552941749</v>
      </c>
      <c r="J27" s="88">
        <f>SUMIFS('The PIP portfolio'!AX$4:AX$32,'The PIP portfolio'!$AP$4:$AP$32,"Yes",'The PIP portfolio'!$L$4:$L$32,$B$24,'The PIP portfolio'!$F$4:$F$32,'Simulation of 2017 MTEF'!$B27)</f>
        <v>91.93861552941749</v>
      </c>
      <c r="K27" s="88">
        <f>SUMIFS('The PIP portfolio'!AY$4:AY$32,'The PIP portfolio'!$AP$4:$AP$32,"Yes",'The PIP portfolio'!$L$4:$L$32,$B$24,'The PIP portfolio'!$F$4:$F$32,'Simulation of 2017 MTEF'!$B27)</f>
        <v>95</v>
      </c>
    </row>
    <row r="28" spans="2:11" x14ac:dyDescent="0.35">
      <c r="B28" s="87" t="s">
        <v>244</v>
      </c>
      <c r="C28" s="88">
        <f>SUMIFS('The PIP portfolio'!W$4:W$32,'The PIP portfolio'!$AP$4:$AP$32,"Yes",'The PIP portfolio'!$L$4:$L$32,$B$24,'The PIP portfolio'!$F$4:$F$32,'Simulation of 2017 MTEF'!$B28)+SUMIFS('The PIP portfolio'!X$4:X$32,'The PIP portfolio'!$AP$4:$AP$32,"Yes",'The PIP portfolio'!$L$4:$L$32,$B$24,'The PIP portfolio'!$F$4:$F$32,'Simulation of 2017 MTEF'!$B28)</f>
        <v>786.15293701391897</v>
      </c>
      <c r="D28" s="88">
        <f>SUMIFS('The PIP portfolio'!AC$4:AC$32,'The PIP portfolio'!$AP$4:$AP$32,"Yes",'The PIP portfolio'!$L$4:$L$32,$B$24,'The PIP portfolio'!$F$4:$F$32,'Simulation of 2017 MTEF'!$B28)+SUMIFS('The PIP portfolio'!AB$4:AB$32,'The PIP portfolio'!$AP$4:$AP$32,"Yes",'The PIP portfolio'!$L$4:$L$32,$B$24,'The PIP portfolio'!$F$4:$F$32,'Simulation of 2017 MTEF'!$B28)</f>
        <v>513.5</v>
      </c>
      <c r="E28" s="88">
        <f>SUMIFS('The PIP portfolio'!AS$4:AS$32,'The PIP portfolio'!$AP$4:$AP$32,"Yes",'The PIP portfolio'!$L$4:$L$32,$B$24,'The PIP portfolio'!$F$4:$F$32,'Simulation of 2017 MTEF'!$B28)</f>
        <v>560.87318623408783</v>
      </c>
      <c r="F28" s="88">
        <f>SUMIFS('The PIP portfolio'!AT$4:AT$32,'The PIP portfolio'!$AP$4:$AP$32,"Yes",'The PIP portfolio'!$L$4:$L$32,$B$24,'The PIP portfolio'!$F$4:$F$32,'Simulation of 2017 MTEF'!$B28)</f>
        <v>577.90224119933373</v>
      </c>
      <c r="G28" s="88">
        <f>SUMIFS('The PIP portfolio'!AU$4:AU$32,'The PIP portfolio'!$AP$4:$AP$32,"Yes",'The PIP portfolio'!$L$4:$L$32,$B$24,'The PIP portfolio'!$F$4:$F$32,'Simulation of 2017 MTEF'!$B28)</f>
        <v>594.89194458888869</v>
      </c>
      <c r="H28" s="88">
        <f>SUMIFS('The PIP portfolio'!AV$4:AV$32,'The PIP portfolio'!$AP$4:$AP$32,"Yes",'The PIP portfolio'!$L$4:$L$32,$B$24,'The PIP portfolio'!$F$4:$F$32,'Simulation of 2017 MTEF'!$B28)</f>
        <v>608.60705189280122</v>
      </c>
      <c r="I28" s="88">
        <f>SUMIFS('The PIP portfolio'!AW$4:AW$32,'The PIP portfolio'!$AP$4:$AP$32,"Yes",'The PIP portfolio'!$L$4:$L$32,$B$24,'The PIP portfolio'!$F$4:$F$32,'Simulation of 2017 MTEF'!$B28)</f>
        <v>630.65103509550079</v>
      </c>
      <c r="J28" s="88">
        <f>SUMIFS('The PIP portfolio'!AX$4:AX$32,'The PIP portfolio'!$AP$4:$AP$32,"Yes",'The PIP portfolio'!$L$4:$L$32,$B$24,'The PIP portfolio'!$F$4:$F$32,'Simulation of 2017 MTEF'!$B28)</f>
        <v>655.04900587347458</v>
      </c>
      <c r="K28" s="88">
        <f>SUMIFS('The PIP portfolio'!AY$4:AY$32,'The PIP portfolio'!$AP$4:$AP$32,"Yes",'The PIP portfolio'!$L$4:$L$32,$B$24,'The PIP portfolio'!$F$4:$F$32,'Simulation of 2017 MTEF'!$B28)</f>
        <v>786.15293701391897</v>
      </c>
    </row>
    <row r="29" spans="2:11" x14ac:dyDescent="0.35">
      <c r="B29" s="87" t="s">
        <v>46</v>
      </c>
      <c r="C29" s="88">
        <f>SUMIFS('The PIP portfolio'!W$4:W$32,'The PIP portfolio'!$AP$4:$AP$32,"Yes",'The PIP portfolio'!$L$4:$L$32,$B$24,'The PIP portfolio'!$F$4:$F$32,'Simulation of 2017 MTEF'!$B29)+SUMIFS('The PIP portfolio'!X$4:X$32,'The PIP portfolio'!$AP$4:$AP$32,"Yes",'The PIP portfolio'!$L$4:$L$32,$B$24,'The PIP portfolio'!$F$4:$F$32,'Simulation of 2017 MTEF'!$B29)</f>
        <v>606.90000000000009</v>
      </c>
      <c r="D29" s="88">
        <f>SUMIFS('The PIP portfolio'!AC$4:AC$32,'The PIP portfolio'!$AP$4:$AP$32,"Yes",'The PIP portfolio'!$L$4:$L$32,$B$24,'The PIP portfolio'!$F$4:$F$32,'Simulation of 2017 MTEF'!$B29)+SUMIFS('The PIP portfolio'!AB$4:AB$32,'The PIP portfolio'!$AP$4:$AP$32,"Yes",'The PIP portfolio'!$L$4:$L$32,$B$24,'The PIP portfolio'!$F$4:$F$32,'Simulation of 2017 MTEF'!$B29)</f>
        <v>490.21811320754693</v>
      </c>
      <c r="E29" s="88">
        <f>SUMIFS('The PIP portfolio'!AS$4:AS$32,'The PIP portfolio'!$AP$4:$AP$32,"Yes",'The PIP portfolio'!$L$4:$L$32,$B$24,'The PIP portfolio'!$F$4:$F$32,'Simulation of 2017 MTEF'!$B29)</f>
        <v>515.55158533101201</v>
      </c>
      <c r="F29" s="88">
        <f>SUMIFS('The PIP portfolio'!AT$4:AT$32,'The PIP portfolio'!$AP$4:$AP$32,"Yes",'The PIP portfolio'!$L$4:$L$32,$B$24,'The PIP portfolio'!$F$4:$F$32,'Simulation of 2017 MTEF'!$B29)</f>
        <v>522.18838431936831</v>
      </c>
      <c r="G29" s="88">
        <f>SUMIFS('The PIP portfolio'!AU$4:AU$32,'The PIP portfolio'!$AP$4:$AP$32,"Yes",'The PIP portfolio'!$L$4:$L$32,$B$24,'The PIP portfolio'!$F$4:$F$32,'Simulation of 2017 MTEF'!$B29)</f>
        <v>530.35131541180544</v>
      </c>
      <c r="H29" s="88">
        <f>SUMIFS('The PIP portfolio'!AV$4:AV$32,'The PIP portfolio'!$AP$4:$AP$32,"Yes",'The PIP portfolio'!$L$4:$L$32,$B$24,'The PIP portfolio'!$F$4:$F$32,'Simulation of 2017 MTEF'!$B29)</f>
        <v>533.86530652221097</v>
      </c>
      <c r="I29" s="88">
        <f>SUMIFS('The PIP portfolio'!AW$4:AW$32,'The PIP portfolio'!$AP$4:$AP$32,"Yes",'The PIP portfolio'!$L$4:$L$32,$B$24,'The PIP portfolio'!$F$4:$F$32,'Simulation of 2017 MTEF'!$B29)</f>
        <v>539.61041551431401</v>
      </c>
      <c r="J29" s="88">
        <f>SUMIFS('The PIP portfolio'!AX$4:AX$32,'The PIP portfolio'!$AP$4:$AP$32,"Yes",'The PIP portfolio'!$L$4:$L$32,$B$24,'The PIP portfolio'!$F$4:$F$32,'Simulation of 2017 MTEF'!$B29)</f>
        <v>547.02058127831526</v>
      </c>
      <c r="K29" s="88">
        <f>SUMIFS('The PIP portfolio'!AY$4:AY$32,'The PIP portfolio'!$AP$4:$AP$32,"Yes",'The PIP portfolio'!$L$4:$L$32,$B$24,'The PIP portfolio'!$F$4:$F$32,'Simulation of 2017 MTEF'!$B29)</f>
        <v>606.9</v>
      </c>
    </row>
    <row r="30" spans="2:11" x14ac:dyDescent="0.35">
      <c r="B30" s="87"/>
      <c r="C30" s="88"/>
      <c r="D30" s="88"/>
      <c r="E30" s="88"/>
      <c r="F30" s="88"/>
      <c r="G30" s="88"/>
      <c r="H30" s="88"/>
      <c r="I30" s="88"/>
    </row>
    <row r="31" spans="2:11" x14ac:dyDescent="0.35">
      <c r="B31" s="91" t="s">
        <v>18</v>
      </c>
      <c r="C31" s="92">
        <f t="shared" ref="C31:I31" si="13">SUM(C32:C36)</f>
        <v>439.358</v>
      </c>
      <c r="D31" s="93">
        <f t="shared" si="13"/>
        <v>0</v>
      </c>
      <c r="E31" s="93">
        <f t="shared" si="13"/>
        <v>0</v>
      </c>
      <c r="F31" s="93">
        <f t="shared" si="13"/>
        <v>9.9390111679286726</v>
      </c>
      <c r="G31" s="93">
        <f t="shared" si="13"/>
        <v>35.884781507838582</v>
      </c>
      <c r="H31" s="93">
        <f t="shared" si="13"/>
        <v>68.489348025735751</v>
      </c>
      <c r="I31" s="93">
        <f t="shared" si="13"/>
        <v>92.228138381105708</v>
      </c>
      <c r="J31" s="93">
        <f t="shared" ref="J31:K31" si="14">SUM(J32:J36)</f>
        <v>113.38416163732904</v>
      </c>
      <c r="K31" s="93">
        <f t="shared" si="14"/>
        <v>439.358</v>
      </c>
    </row>
    <row r="32" spans="2:11" x14ac:dyDescent="0.35">
      <c r="B32" s="87" t="s">
        <v>13</v>
      </c>
      <c r="C32" s="88">
        <f>SUMIFS('The PIP portfolio'!W$4:W$32,'The PIP portfolio'!$AP$4:$AP$32,"Yes",'The PIP portfolio'!$L$4:$L$32,$B$31,'The PIP portfolio'!$F$4:$F$32,'Simulation of 2017 MTEF'!$B32)+SUMIFS('The PIP portfolio'!X$4:X$32,'The PIP portfolio'!$AP$4:$AP$32,"Yes",'The PIP portfolio'!$L$4:$L$32,$B$31,'The PIP portfolio'!$F$4:$F$32,'Simulation of 2017 MTEF'!$B32)</f>
        <v>0</v>
      </c>
      <c r="D32" s="88">
        <f>SUMIFS('The PIP portfolio'!AC$4:AC$32,'The PIP portfolio'!$AP$4:$AP$32,"Yes",'The PIP portfolio'!$L$4:$L$32,$B$31,'The PIP portfolio'!$F$4:$F$32,'Simulation of 2017 MTEF'!$B32)+SUMIFS('The PIP portfolio'!AB$4:AB$32,'The PIP portfolio'!$AP$4:$AP$32,"Yes",'The PIP portfolio'!$L$4:$L$32,$B$31,'The PIP portfolio'!$F$4:$F$32,'Simulation of 2017 MTEF'!$B32)</f>
        <v>0</v>
      </c>
      <c r="E32" s="88">
        <f>SUMIFS('The PIP portfolio'!AS$4:AS$32,'The PIP portfolio'!$AP$4:$AP$32,"Yes",'The PIP portfolio'!$L$4:$L$32,$B$31,'The PIP portfolio'!$F$4:$F$32,'Simulation of 2017 MTEF'!$B32)</f>
        <v>0</v>
      </c>
      <c r="F32" s="88">
        <f>SUMIFS('The PIP portfolio'!AT$4:AT$32,'The PIP portfolio'!$AP$4:$AP$32,"Yes",'The PIP portfolio'!$L$4:$L$32,$B$31,'The PIP portfolio'!$F$4:$F$32,'Simulation of 2017 MTEF'!$B32)</f>
        <v>0</v>
      </c>
      <c r="G32" s="88">
        <f>SUMIFS('The PIP portfolio'!AU$4:AU$32,'The PIP portfolio'!$AP$4:$AP$32,"Yes",'The PIP portfolio'!$L$4:$L$32,$B$31,'The PIP portfolio'!$F$4:$F$32,'Simulation of 2017 MTEF'!$B32)</f>
        <v>0</v>
      </c>
      <c r="H32" s="88">
        <f>SUMIFS('The PIP portfolio'!AV$4:AV$32,'The PIP portfolio'!$AP$4:$AP$32,"Yes",'The PIP portfolio'!$L$4:$L$32,$B$31,'The PIP portfolio'!$F$4:$F$32,'Simulation of 2017 MTEF'!$B32)</f>
        <v>0</v>
      </c>
      <c r="I32" s="88">
        <f>SUMIFS('The PIP portfolio'!AW$4:AW$32,'The PIP portfolio'!$AP$4:$AP$32,"Yes",'The PIP portfolio'!$L$4:$L$32,$B$31,'The PIP portfolio'!$F$4:$F$32,'Simulation of 2017 MTEF'!$B32)</f>
        <v>0</v>
      </c>
      <c r="J32" s="88">
        <f>SUMIFS('The PIP portfolio'!AX$4:AX$32,'The PIP portfolio'!$AP$4:$AP$32,"Yes",'The PIP portfolio'!$L$4:$L$32,$B$31,'The PIP portfolio'!$F$4:$F$32,'Simulation of 2017 MTEF'!$B32)</f>
        <v>0</v>
      </c>
      <c r="K32" s="88">
        <f>SUMIFS('The PIP portfolio'!AY$4:AY$32,'The PIP portfolio'!$AP$4:$AP$32,"Yes",'The PIP portfolio'!$L$4:$L$32,$B$31,'The PIP portfolio'!$F$4:$F$32,'Simulation of 2017 MTEF'!$B32)</f>
        <v>0</v>
      </c>
    </row>
    <row r="33" spans="2:11" x14ac:dyDescent="0.35">
      <c r="B33" s="87" t="s">
        <v>20</v>
      </c>
      <c r="C33" s="88">
        <f>SUMIFS('The PIP portfolio'!W$4:W$32,'The PIP portfolio'!$AP$4:$AP$32,"Yes",'The PIP portfolio'!$L$4:$L$32,$B$31,'The PIP portfolio'!$F$4:$F$32,'Simulation of 2017 MTEF'!$B33)+SUMIFS('The PIP portfolio'!X$4:X$32,'The PIP portfolio'!$AP$4:$AP$32,"Yes",'The PIP portfolio'!$L$4:$L$32,$B$31,'The PIP portfolio'!$F$4:$F$32,'Simulation of 2017 MTEF'!$B33)</f>
        <v>0</v>
      </c>
      <c r="D33" s="88">
        <f>SUMIFS('The PIP portfolio'!AC$4:AC$32,'The PIP portfolio'!$AP$4:$AP$32,"Yes",'The PIP portfolio'!$L$4:$L$32,$B$31,'The PIP portfolio'!$F$4:$F$32,'Simulation of 2017 MTEF'!$B33)+SUMIFS('The PIP portfolio'!AB$4:AB$32,'The PIP portfolio'!$AP$4:$AP$32,"Yes",'The PIP portfolio'!$L$4:$L$32,$B$31,'The PIP portfolio'!$F$4:$F$32,'Simulation of 2017 MTEF'!$B33)</f>
        <v>0</v>
      </c>
      <c r="E33" s="88">
        <f>SUMIFS('The PIP portfolio'!AS$4:AS$32,'The PIP portfolio'!$AP$4:$AP$32,"Yes",'The PIP portfolio'!$L$4:$L$32,$B$31,'The PIP portfolio'!$F$4:$F$32,'Simulation of 2017 MTEF'!$B33)</f>
        <v>0</v>
      </c>
      <c r="F33" s="88">
        <f>SUMIFS('The PIP portfolio'!AT$4:AT$32,'The PIP portfolio'!$AP$4:$AP$32,"Yes",'The PIP portfolio'!$L$4:$L$32,$B$31,'The PIP portfolio'!$F$4:$F$32,'Simulation of 2017 MTEF'!$B33)</f>
        <v>0</v>
      </c>
      <c r="G33" s="88">
        <f>SUMIFS('The PIP portfolio'!AU$4:AU$32,'The PIP portfolio'!$AP$4:$AP$32,"Yes",'The PIP portfolio'!$L$4:$L$32,$B$31,'The PIP portfolio'!$F$4:$F$32,'Simulation of 2017 MTEF'!$B33)</f>
        <v>0</v>
      </c>
      <c r="H33" s="88">
        <f>SUMIFS('The PIP portfolio'!AV$4:AV$32,'The PIP portfolio'!$AP$4:$AP$32,"Yes",'The PIP portfolio'!$L$4:$L$32,$B$31,'The PIP portfolio'!$F$4:$F$32,'Simulation of 2017 MTEF'!$B33)</f>
        <v>0</v>
      </c>
      <c r="I33" s="88">
        <f>SUMIFS('The PIP portfolio'!AW$4:AW$32,'The PIP portfolio'!$AP$4:$AP$32,"Yes",'The PIP portfolio'!$L$4:$L$32,$B$31,'The PIP portfolio'!$F$4:$F$32,'Simulation of 2017 MTEF'!$B33)</f>
        <v>0</v>
      </c>
      <c r="J33" s="88">
        <f>SUMIFS('The PIP portfolio'!AX$4:AX$32,'The PIP portfolio'!$AP$4:$AP$32,"Yes",'The PIP portfolio'!$L$4:$L$32,$B$31,'The PIP portfolio'!$F$4:$F$32,'Simulation of 2017 MTEF'!$B33)</f>
        <v>0</v>
      </c>
      <c r="K33" s="88">
        <f>SUMIFS('The PIP portfolio'!AY$4:AY$32,'The PIP portfolio'!$AP$4:$AP$32,"Yes",'The PIP portfolio'!$L$4:$L$32,$B$31,'The PIP portfolio'!$F$4:$F$32,'Simulation of 2017 MTEF'!$B33)</f>
        <v>0</v>
      </c>
    </row>
    <row r="34" spans="2:11" x14ac:dyDescent="0.35">
      <c r="B34" s="87" t="s">
        <v>34</v>
      </c>
      <c r="C34" s="88">
        <f>SUMIFS('The PIP portfolio'!W$4:W$32,'The PIP portfolio'!$AP$4:$AP$32,"Yes",'The PIP portfolio'!$L$4:$L$32,$B$31,'The PIP portfolio'!$F$4:$F$32,'Simulation of 2017 MTEF'!$B34)+SUMIFS('The PIP portfolio'!X$4:X$32,'The PIP portfolio'!$AP$4:$AP$32,"Yes",'The PIP portfolio'!$L$4:$L$32,$B$31,'The PIP portfolio'!$F$4:$F$32,'Simulation of 2017 MTEF'!$B34)</f>
        <v>20</v>
      </c>
      <c r="D34" s="88">
        <f>SUMIFS('The PIP portfolio'!AC$4:AC$32,'The PIP portfolio'!$AP$4:$AP$32,"Yes",'The PIP portfolio'!$L$4:$L$32,$B$31,'The PIP portfolio'!$F$4:$F$32,'Simulation of 2017 MTEF'!$B34)+SUMIFS('The PIP portfolio'!AB$4:AB$32,'The PIP portfolio'!$AP$4:$AP$32,"Yes",'The PIP portfolio'!$L$4:$L$32,$B$31,'The PIP portfolio'!$F$4:$F$32,'Simulation of 2017 MTEF'!$B34)</f>
        <v>0</v>
      </c>
      <c r="E34" s="88">
        <f>SUMIFS('The PIP portfolio'!AS$4:AS$32,'The PIP portfolio'!$AP$4:$AP$32,"Yes",'The PIP portfolio'!$L$4:$L$32,$B$31,'The PIP portfolio'!$F$4:$F$32,'Simulation of 2017 MTEF'!$B34)</f>
        <v>0</v>
      </c>
      <c r="F34" s="88">
        <f>SUMIFS('The PIP portfolio'!AT$4:AT$32,'The PIP portfolio'!$AP$4:$AP$32,"Yes",'The PIP portfolio'!$L$4:$L$32,$B$31,'The PIP portfolio'!$F$4:$F$32,'Simulation of 2017 MTEF'!$B34)</f>
        <v>1.3273597976712561</v>
      </c>
      <c r="G34" s="88">
        <f>SUMIFS('The PIP portfolio'!AU$4:AU$32,'The PIP portfolio'!$AP$4:$AP$32,"Yes",'The PIP portfolio'!$L$4:$L$32,$B$31,'The PIP portfolio'!$F$4:$F$32,'Simulation of 2017 MTEF'!$B34)</f>
        <v>3.7202757680311138</v>
      </c>
      <c r="H34" s="88">
        <f>SUMIFS('The PIP portfolio'!AV$4:AV$32,'The PIP portfolio'!$AP$4:$AP$32,"Yes",'The PIP portfolio'!$L$4:$L$32,$B$31,'The PIP portfolio'!$F$4:$F$32,'Simulation of 2017 MTEF'!$B34)</f>
        <v>5.5422801587763502</v>
      </c>
      <c r="I34" s="88">
        <f>SUMIFS('The PIP portfolio'!AW$4:AW$32,'The PIP portfolio'!$AP$4:$AP$32,"Yes",'The PIP portfolio'!$L$4:$L$32,$B$31,'The PIP portfolio'!$F$4:$F$32,'Simulation of 2017 MTEF'!$B34)</f>
        <v>5.8008100634209896</v>
      </c>
      <c r="J34" s="88">
        <f>SUMIFS('The PIP portfolio'!AX$4:AX$32,'The PIP portfolio'!$AP$4:$AP$32,"Yes",'The PIP portfolio'!$L$4:$L$32,$B$31,'The PIP portfolio'!$F$4:$F$32,'Simulation of 2017 MTEF'!$B34)</f>
        <v>5.8008100634209896</v>
      </c>
      <c r="K34" s="88">
        <f>SUMIFS('The PIP portfolio'!AY$4:AY$32,'The PIP portfolio'!$AP$4:$AP$32,"Yes",'The PIP portfolio'!$L$4:$L$32,$B$31,'The PIP portfolio'!$F$4:$F$32,'Simulation of 2017 MTEF'!$B34)</f>
        <v>20</v>
      </c>
    </row>
    <row r="35" spans="2:11" x14ac:dyDescent="0.35">
      <c r="B35" s="87" t="s">
        <v>244</v>
      </c>
      <c r="C35" s="88">
        <f>SUMIFS('The PIP portfolio'!W$4:W$32,'The PIP portfolio'!$AP$4:$AP$32,"Yes",'The PIP portfolio'!$L$4:$L$32,$B$31,'The PIP portfolio'!$F$4:$F$32,'Simulation of 2017 MTEF'!$B35)+SUMIFS('The PIP portfolio'!X$4:X$32,'The PIP portfolio'!$AP$4:$AP$32,"Yes",'The PIP portfolio'!$L$4:$L$32,$B$31,'The PIP portfolio'!$F$4:$F$32,'Simulation of 2017 MTEF'!$B35)</f>
        <v>388.65800000000002</v>
      </c>
      <c r="D35" s="88">
        <f>SUMIFS('The PIP portfolio'!AC$4:AC$32,'The PIP portfolio'!$AP$4:$AP$32,"Yes",'The PIP portfolio'!$L$4:$L$32,$B$31,'The PIP portfolio'!$F$4:$F$32,'Simulation of 2017 MTEF'!$B35)+SUMIFS('The PIP portfolio'!AB$4:AB$32,'The PIP portfolio'!$AP$4:$AP$32,"Yes",'The PIP portfolio'!$L$4:$L$32,$B$31,'The PIP portfolio'!$F$4:$F$32,'Simulation of 2017 MTEF'!$B35)</f>
        <v>0</v>
      </c>
      <c r="E35" s="88">
        <f>SUMIFS('The PIP portfolio'!AS$4:AS$32,'The PIP portfolio'!$AP$4:$AP$32,"Yes",'The PIP portfolio'!$L$4:$L$32,$B$31,'The PIP portfolio'!$F$4:$F$32,'Simulation of 2017 MTEF'!$B35)</f>
        <v>0</v>
      </c>
      <c r="F35" s="88">
        <f>SUMIFS('The PIP portfolio'!AT$4:AT$32,'The PIP portfolio'!$AP$4:$AP$32,"Yes",'The PIP portfolio'!$L$4:$L$32,$B$31,'The PIP portfolio'!$F$4:$F$32,'Simulation of 2017 MTEF'!$B35)</f>
        <v>6.31305269624134</v>
      </c>
      <c r="G35" s="88">
        <f>SUMIFS('The PIP portfolio'!AU$4:AU$32,'The PIP portfolio'!$AP$4:$AP$32,"Yes",'The PIP portfolio'!$L$4:$L$32,$B$31,'The PIP portfolio'!$F$4:$F$32,'Simulation of 2017 MTEF'!$B35)</f>
        <v>23.951159122926093</v>
      </c>
      <c r="H35" s="88">
        <f>SUMIFS('The PIP portfolio'!AV$4:AV$32,'The PIP portfolio'!$AP$4:$AP$32,"Yes",'The PIP portfolio'!$L$4:$L$32,$B$31,'The PIP portfolio'!$F$4:$F$32,'Simulation of 2017 MTEF'!$B35)</f>
        <v>52.238787561690138</v>
      </c>
      <c r="I35" s="88">
        <f>SUMIFS('The PIP portfolio'!AW$4:AW$32,'The PIP portfolio'!$AP$4:$AP$32,"Yes",'The PIP portfolio'!$L$4:$L$32,$B$31,'The PIP portfolio'!$F$4:$F$32,'Simulation of 2017 MTEF'!$B35)</f>
        <v>75.719048012415456</v>
      </c>
      <c r="J35" s="88">
        <f>SUMIFS('The PIP portfolio'!AX$4:AX$32,'The PIP portfolio'!$AP$4:$AP$32,"Yes",'The PIP portfolio'!$L$4:$L$32,$B$31,'The PIP portfolio'!$F$4:$F$32,'Simulation of 2017 MTEF'!$B35)</f>
        <v>96.875071268638791</v>
      </c>
      <c r="K35" s="88">
        <f>SUMIFS('The PIP portfolio'!AY$4:AY$32,'The PIP portfolio'!$AP$4:$AP$32,"Yes",'The PIP portfolio'!$L$4:$L$32,$B$31,'The PIP portfolio'!$F$4:$F$32,'Simulation of 2017 MTEF'!$B35)</f>
        <v>388.65800000000002</v>
      </c>
    </row>
    <row r="36" spans="2:11" x14ac:dyDescent="0.35">
      <c r="B36" s="87" t="s">
        <v>46</v>
      </c>
      <c r="C36" s="88">
        <f>SUMIFS('The PIP portfolio'!W$4:W$32,'The PIP portfolio'!$AP$4:$AP$32,"Yes",'The PIP portfolio'!$L$4:$L$32,$B$31,'The PIP portfolio'!$F$4:$F$32,'Simulation of 2017 MTEF'!$B36)+SUMIFS('The PIP portfolio'!X$4:X$32,'The PIP portfolio'!$AP$4:$AP$32,"Yes",'The PIP portfolio'!$L$4:$L$32,$B$31,'The PIP portfolio'!$F$4:$F$32,'Simulation of 2017 MTEF'!$B36)</f>
        <v>30.7</v>
      </c>
      <c r="D36" s="88">
        <f>SUMIFS('The PIP portfolio'!AC$4:AC$32,'The PIP portfolio'!$AP$4:$AP$32,"Yes",'The PIP portfolio'!$L$4:$L$32,$B$31,'The PIP portfolio'!$F$4:$F$32,'Simulation of 2017 MTEF'!$B36)+SUMIFS('The PIP portfolio'!AB$4:AB$32,'The PIP portfolio'!$AP$4:$AP$32,"Yes",'The PIP portfolio'!$L$4:$L$32,$B$31,'The PIP portfolio'!$F$4:$F$32,'Simulation of 2017 MTEF'!$B36)</f>
        <v>0</v>
      </c>
      <c r="E36" s="88">
        <f>SUMIFS('The PIP portfolio'!AS$4:AS$32,'The PIP portfolio'!$AP$4:$AP$32,"Yes",'The PIP portfolio'!$L$4:$L$32,$B$31,'The PIP portfolio'!$F$4:$F$32,'Simulation of 2017 MTEF'!$B36)</f>
        <v>0</v>
      </c>
      <c r="F36" s="88">
        <f>SUMIFS('The PIP portfolio'!AT$4:AT$32,'The PIP portfolio'!$AP$4:$AP$32,"Yes",'The PIP portfolio'!$L$4:$L$32,$B$31,'The PIP portfolio'!$F$4:$F$32,'Simulation of 2017 MTEF'!$B36)</f>
        <v>2.2985986740160778</v>
      </c>
      <c r="G36" s="88">
        <f>SUMIFS('The PIP portfolio'!AU$4:AU$32,'The PIP portfolio'!$AP$4:$AP$32,"Yes",'The PIP portfolio'!$L$4:$L$32,$B$31,'The PIP portfolio'!$F$4:$F$32,'Simulation of 2017 MTEF'!$B36)</f>
        <v>8.2133466168813705</v>
      </c>
      <c r="H36" s="88">
        <f>SUMIFS('The PIP portfolio'!AV$4:AV$32,'The PIP portfolio'!$AP$4:$AP$32,"Yes",'The PIP portfolio'!$L$4:$L$32,$B$31,'The PIP portfolio'!$F$4:$F$32,'Simulation of 2017 MTEF'!$B36)</f>
        <v>10.708280305269255</v>
      </c>
      <c r="I36" s="88">
        <f>SUMIFS('The PIP portfolio'!AW$4:AW$32,'The PIP portfolio'!$AP$4:$AP$32,"Yes",'The PIP portfolio'!$L$4:$L$32,$B$31,'The PIP portfolio'!$F$4:$F$32,'Simulation of 2017 MTEF'!$B36)</f>
        <v>10.708280305269255</v>
      </c>
      <c r="J36" s="88">
        <f>SUMIFS('The PIP portfolio'!AX$4:AX$32,'The PIP portfolio'!$AP$4:$AP$32,"Yes",'The PIP portfolio'!$L$4:$L$32,$B$31,'The PIP portfolio'!$F$4:$F$32,'Simulation of 2017 MTEF'!$B36)</f>
        <v>10.708280305269255</v>
      </c>
      <c r="K36" s="88">
        <f>SUMIFS('The PIP portfolio'!AY$4:AY$32,'The PIP portfolio'!$AP$4:$AP$32,"Yes",'The PIP portfolio'!$L$4:$L$32,$B$31,'The PIP portfolio'!$F$4:$F$32,'Simulation of 2017 MTEF'!$B36)</f>
        <v>30.7</v>
      </c>
    </row>
    <row r="37" spans="2:11" x14ac:dyDescent="0.35">
      <c r="B37" s="94" t="s">
        <v>159</v>
      </c>
      <c r="C37" s="95">
        <f t="shared" ref="C37:E37" si="15">C24+C31</f>
        <v>1960.410937013919</v>
      </c>
      <c r="D37" s="95">
        <f t="shared" si="15"/>
        <v>1116.718113207547</v>
      </c>
      <c r="E37" s="95">
        <f t="shared" si="15"/>
        <v>1195.7276418365877</v>
      </c>
      <c r="F37" s="95">
        <f t="shared" ref="F37:K37" si="16">F24+F31</f>
        <v>1230.9512384186933</v>
      </c>
      <c r="G37" s="95">
        <f t="shared" si="16"/>
        <v>1283.4004829012827</v>
      </c>
      <c r="H37" s="95">
        <f t="shared" si="16"/>
        <v>1334.4640447221398</v>
      </c>
      <c r="I37" s="95">
        <f t="shared" si="16"/>
        <v>1387.4282045203379</v>
      </c>
      <c r="J37" s="95">
        <f t="shared" si="16"/>
        <v>1440.3923643185365</v>
      </c>
      <c r="K37" s="95">
        <f t="shared" si="16"/>
        <v>1960.4109370139188</v>
      </c>
    </row>
    <row r="38" spans="2:11" x14ac:dyDescent="0.35">
      <c r="B38" s="96"/>
      <c r="C38" s="96"/>
      <c r="D38" s="96"/>
      <c r="E38" s="97"/>
      <c r="F38" s="97"/>
      <c r="G38" s="97"/>
      <c r="H38" s="97"/>
      <c r="I38" s="97"/>
      <c r="J38" s="97"/>
      <c r="K38" s="97"/>
    </row>
    <row r="73" spans="4:10" x14ac:dyDescent="0.35">
      <c r="D73" s="131">
        <f>'Macro Var'!E11-'Macro Var'!E12</f>
        <v>1276.8768370267835</v>
      </c>
      <c r="E73" s="131">
        <f>'Macro Var'!F11-'Macro Var'!F12</f>
        <v>1355.8863656558244</v>
      </c>
      <c r="F73" s="131">
        <f>'Macro Var'!G11-'Macro Var'!G12</f>
        <v>1391.1099622379299</v>
      </c>
      <c r="G73" s="131">
        <f>'Macro Var'!H11-'Macro Var'!H12</f>
        <v>1443.5592067205191</v>
      </c>
      <c r="H73" s="131">
        <f>'Macro Var'!I11-'Macro Var'!I12</f>
        <v>1494.6227685413762</v>
      </c>
      <c r="I73" s="131">
        <f>'Macro Var'!J11-'Macro Var'!J12</f>
        <v>1547.5869283395746</v>
      </c>
      <c r="J73" s="131">
        <f>'Macro Var'!K11-'Macro Var'!K12</f>
        <v>1596.273620787287</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The portfolio</vt:lpstr>
      <vt:lpstr>Macro Var</vt:lpstr>
      <vt:lpstr>The PIP portfolio</vt:lpstr>
      <vt:lpstr>Simulation of 2017 MTEF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Aldunate</dc:creator>
  <cp:lastModifiedBy>Rial, Isabel</cp:lastModifiedBy>
  <cp:lastPrinted>2019-11-08T21:57:26Z</cp:lastPrinted>
  <dcterms:created xsi:type="dcterms:W3CDTF">2019-11-03T13:55:33Z</dcterms:created>
  <dcterms:modified xsi:type="dcterms:W3CDTF">2019-11-13T16:20:35Z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20191113112033106</vt:lpwstr>
  </property>
</Properties>
</file>